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 activeTab="1"/>
  </bookViews>
  <sheets>
    <sheet name="Лист1" sheetId="1" r:id="rId1"/>
    <sheet name="Лист2" sheetId="2" r:id="rId2"/>
  </sheets>
  <definedNames>
    <definedName name="_xlnm._FilterDatabase" localSheetId="0" hidden="1">Лист1!$A$17:$R$162</definedName>
    <definedName name="_xlnm.Print_Titles" localSheetId="0">Лист1!$13:$17</definedName>
    <definedName name="_xlnm.Print_Area" localSheetId="0">Лист1!$A$1:$Q$166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2" i="2" l="1"/>
  <c r="O162" i="2"/>
  <c r="K162" i="2"/>
  <c r="J162" i="2"/>
  <c r="I162" i="2"/>
  <c r="P161" i="2"/>
  <c r="O161" i="2"/>
  <c r="L161" i="2"/>
  <c r="K161" i="2"/>
  <c r="P160" i="2"/>
  <c r="O160" i="2"/>
  <c r="L160" i="2"/>
  <c r="K160" i="2"/>
  <c r="J160" i="2"/>
  <c r="I160" i="2"/>
  <c r="P156" i="2"/>
  <c r="O156" i="2"/>
  <c r="M156" i="2"/>
  <c r="K156" i="2"/>
  <c r="J156" i="2"/>
  <c r="I156" i="2"/>
  <c r="P155" i="2"/>
  <c r="O155" i="2"/>
  <c r="L155" i="2"/>
  <c r="K155" i="2"/>
  <c r="J155" i="2"/>
  <c r="I155" i="2"/>
  <c r="P154" i="2"/>
  <c r="O154" i="2"/>
  <c r="L154" i="2"/>
  <c r="K154" i="2"/>
  <c r="J154" i="2"/>
  <c r="I154" i="2"/>
  <c r="P153" i="2"/>
  <c r="J153" i="2"/>
  <c r="J151" i="2" s="1"/>
  <c r="P151" i="2"/>
  <c r="M150" i="2"/>
  <c r="L150" i="2"/>
  <c r="N150" i="2" s="1"/>
  <c r="N149" i="2"/>
  <c r="M149" i="2"/>
  <c r="N148" i="2"/>
  <c r="M148" i="2"/>
  <c r="M147" i="2"/>
  <c r="L147" i="2"/>
  <c r="N147" i="2" s="1"/>
  <c r="N146" i="2"/>
  <c r="M146" i="2"/>
  <c r="L146" i="2"/>
  <c r="N145" i="2"/>
  <c r="M145" i="2"/>
  <c r="M144" i="2"/>
  <c r="L144" i="2"/>
  <c r="L142" i="2" s="1"/>
  <c r="P142" i="2"/>
  <c r="P159" i="2" s="1"/>
  <c r="P157" i="2" s="1"/>
  <c r="O142" i="2"/>
  <c r="M142" i="2"/>
  <c r="K142" i="2"/>
  <c r="M141" i="2"/>
  <c r="M162" i="2" s="1"/>
  <c r="L141" i="2"/>
  <c r="L156" i="2" s="1"/>
  <c r="M140" i="2"/>
  <c r="L140" i="2"/>
  <c r="N140" i="2" s="1"/>
  <c r="M139" i="2"/>
  <c r="L139" i="2"/>
  <c r="N139" i="2" s="1"/>
  <c r="N138" i="2"/>
  <c r="M138" i="2"/>
  <c r="N137" i="2"/>
  <c r="M137" i="2"/>
  <c r="L137" i="2"/>
  <c r="N136" i="2"/>
  <c r="M136" i="2"/>
  <c r="L136" i="2"/>
  <c r="N135" i="2"/>
  <c r="M135" i="2"/>
  <c r="L135" i="2"/>
  <c r="N134" i="2"/>
  <c r="M134" i="2"/>
  <c r="L134" i="2"/>
  <c r="N133" i="2"/>
  <c r="M133" i="2"/>
  <c r="M132" i="2"/>
  <c r="L132" i="2"/>
  <c r="N132" i="2" s="1"/>
  <c r="N129" i="2" s="1"/>
  <c r="N131" i="2"/>
  <c r="M131" i="2"/>
  <c r="M129" i="2" s="1"/>
  <c r="L131" i="2"/>
  <c r="P129" i="2"/>
  <c r="O129" i="2"/>
  <c r="O159" i="2" s="1"/>
  <c r="O157" i="2" s="1"/>
  <c r="L129" i="2"/>
  <c r="K129" i="2"/>
  <c r="J129" i="2"/>
  <c r="I129" i="2"/>
  <c r="I117" i="2" s="1"/>
  <c r="I116" i="2" s="1"/>
  <c r="N128" i="2"/>
  <c r="M128" i="2"/>
  <c r="N127" i="2"/>
  <c r="M127" i="2"/>
  <c r="N126" i="2"/>
  <c r="M126" i="2"/>
  <c r="N125" i="2"/>
  <c r="M125" i="2"/>
  <c r="M154" i="2" s="1"/>
  <c r="N124" i="2"/>
  <c r="M124" i="2"/>
  <c r="J124" i="2"/>
  <c r="J161" i="2" s="1"/>
  <c r="I124" i="2"/>
  <c r="I161" i="2" s="1"/>
  <c r="N123" i="2"/>
  <c r="N155" i="2" s="1"/>
  <c r="M123" i="2"/>
  <c r="M155" i="2" s="1"/>
  <c r="N122" i="2"/>
  <c r="N154" i="2" s="1"/>
  <c r="M122" i="2"/>
  <c r="N121" i="2"/>
  <c r="M121" i="2"/>
  <c r="M118" i="2" s="1"/>
  <c r="M120" i="2"/>
  <c r="L120" i="2"/>
  <c r="L118" i="2" s="1"/>
  <c r="N119" i="2"/>
  <c r="M119" i="2"/>
  <c r="K118" i="2"/>
  <c r="K153" i="2" s="1"/>
  <c r="K151" i="2" s="1"/>
  <c r="P117" i="2"/>
  <c r="P116" i="2" s="1"/>
  <c r="K117" i="2"/>
  <c r="K116" i="2" s="1"/>
  <c r="J117" i="2"/>
  <c r="J116" i="2" s="1"/>
  <c r="P115" i="2"/>
  <c r="O115" i="2"/>
  <c r="O112" i="2" s="1"/>
  <c r="N115" i="2"/>
  <c r="L115" i="2"/>
  <c r="K115" i="2"/>
  <c r="J115" i="2"/>
  <c r="I115" i="2"/>
  <c r="P114" i="2"/>
  <c r="P112" i="2" s="1"/>
  <c r="O114" i="2"/>
  <c r="K114" i="2"/>
  <c r="K112" i="2" s="1"/>
  <c r="J114" i="2"/>
  <c r="J112" i="2" s="1"/>
  <c r="M111" i="2"/>
  <c r="L111" i="2"/>
  <c r="L107" i="2" s="1"/>
  <c r="N110" i="2"/>
  <c r="M110" i="2"/>
  <c r="N109" i="2"/>
  <c r="M109" i="2"/>
  <c r="N108" i="2"/>
  <c r="M108" i="2"/>
  <c r="M107" i="2" s="1"/>
  <c r="P107" i="2"/>
  <c r="O107" i="2"/>
  <c r="K107" i="2"/>
  <c r="J107" i="2"/>
  <c r="I107" i="2"/>
  <c r="M106" i="2"/>
  <c r="L106" i="2"/>
  <c r="N106" i="2" s="1"/>
  <c r="N105" i="2"/>
  <c r="M105" i="2"/>
  <c r="L105" i="2"/>
  <c r="M104" i="2"/>
  <c r="L104" i="2"/>
  <c r="N104" i="2" s="1"/>
  <c r="N103" i="2"/>
  <c r="M103" i="2"/>
  <c r="J103" i="2"/>
  <c r="I103" i="2"/>
  <c r="I159" i="2" s="1"/>
  <c r="M102" i="2"/>
  <c r="L102" i="2"/>
  <c r="N102" i="2" s="1"/>
  <c r="N101" i="2"/>
  <c r="M101" i="2"/>
  <c r="N100" i="2"/>
  <c r="M100" i="2"/>
  <c r="N99" i="2"/>
  <c r="M99" i="2"/>
  <c r="L99" i="2"/>
  <c r="M98" i="2"/>
  <c r="L98" i="2"/>
  <c r="N98" i="2" s="1"/>
  <c r="N97" i="2"/>
  <c r="M97" i="2"/>
  <c r="N96" i="2"/>
  <c r="M96" i="2"/>
  <c r="N95" i="2"/>
  <c r="M95" i="2"/>
  <c r="N94" i="2"/>
  <c r="M94" i="2"/>
  <c r="M93" i="2" s="1"/>
  <c r="L94" i="2"/>
  <c r="P93" i="2"/>
  <c r="O93" i="2"/>
  <c r="L93" i="2"/>
  <c r="K93" i="2"/>
  <c r="J93" i="2"/>
  <c r="I93" i="2"/>
  <c r="M92" i="2"/>
  <c r="L92" i="2"/>
  <c r="N92" i="2" s="1"/>
  <c r="M91" i="2"/>
  <c r="L91" i="2"/>
  <c r="N91" i="2" s="1"/>
  <c r="N90" i="2"/>
  <c r="M90" i="2"/>
  <c r="N89" i="2"/>
  <c r="M89" i="2"/>
  <c r="N88" i="2"/>
  <c r="M88" i="2"/>
  <c r="M87" i="2"/>
  <c r="L87" i="2"/>
  <c r="N87" i="2" s="1"/>
  <c r="N86" i="2"/>
  <c r="M86" i="2"/>
  <c r="M85" i="2"/>
  <c r="L85" i="2"/>
  <c r="N85" i="2" s="1"/>
  <c r="N84" i="2"/>
  <c r="M84" i="2"/>
  <c r="M83" i="2"/>
  <c r="L83" i="2"/>
  <c r="N83" i="2" s="1"/>
  <c r="N82" i="2"/>
  <c r="M82" i="2"/>
  <c r="N81" i="2"/>
  <c r="M81" i="2"/>
  <c r="M80" i="2"/>
  <c r="L80" i="2"/>
  <c r="N80" i="2" s="1"/>
  <c r="N79" i="2"/>
  <c r="M79" i="2"/>
  <c r="L79" i="2"/>
  <c r="M78" i="2"/>
  <c r="M77" i="2" s="1"/>
  <c r="L78" i="2"/>
  <c r="L77" i="2" s="1"/>
  <c r="P77" i="2"/>
  <c r="O77" i="2"/>
  <c r="K77" i="2"/>
  <c r="J77" i="2"/>
  <c r="I77" i="2"/>
  <c r="M76" i="2"/>
  <c r="L76" i="2"/>
  <c r="N76" i="2" s="1"/>
  <c r="N75" i="2"/>
  <c r="N74" i="2" s="1"/>
  <c r="M75" i="2"/>
  <c r="M74" i="2" s="1"/>
  <c r="L75" i="2"/>
  <c r="P74" i="2"/>
  <c r="O74" i="2"/>
  <c r="L74" i="2"/>
  <c r="K74" i="2"/>
  <c r="J74" i="2"/>
  <c r="I74" i="2"/>
  <c r="M73" i="2"/>
  <c r="L73" i="2"/>
  <c r="N73" i="2" s="1"/>
  <c r="M72" i="2"/>
  <c r="L72" i="2"/>
  <c r="N72" i="2" s="1"/>
  <c r="N71" i="2"/>
  <c r="M71" i="2"/>
  <c r="N70" i="2"/>
  <c r="M70" i="2"/>
  <c r="L70" i="2"/>
  <c r="N69" i="2"/>
  <c r="M69" i="2"/>
  <c r="N68" i="2"/>
  <c r="M68" i="2"/>
  <c r="N67" i="2"/>
  <c r="M67" i="2"/>
  <c r="M66" i="2"/>
  <c r="M63" i="2" s="1"/>
  <c r="L66" i="2"/>
  <c r="N66" i="2" s="1"/>
  <c r="N65" i="2"/>
  <c r="M65" i="2"/>
  <c r="M64" i="2"/>
  <c r="L64" i="2"/>
  <c r="N64" i="2" s="1"/>
  <c r="P63" i="2"/>
  <c r="O63" i="2"/>
  <c r="K63" i="2"/>
  <c r="J63" i="2"/>
  <c r="I63" i="2"/>
  <c r="M62" i="2"/>
  <c r="L62" i="2"/>
  <c r="N62" i="2" s="1"/>
  <c r="M61" i="2"/>
  <c r="L61" i="2"/>
  <c r="N61" i="2" s="1"/>
  <c r="M60" i="2"/>
  <c r="L60" i="2"/>
  <c r="N60" i="2" s="1"/>
  <c r="M59" i="2"/>
  <c r="L59" i="2"/>
  <c r="N59" i="2" s="1"/>
  <c r="M58" i="2"/>
  <c r="M57" i="2" s="1"/>
  <c r="L58" i="2"/>
  <c r="N58" i="2" s="1"/>
  <c r="P57" i="2"/>
  <c r="O57" i="2"/>
  <c r="K57" i="2"/>
  <c r="J57" i="2"/>
  <c r="I57" i="2"/>
  <c r="N56" i="2"/>
  <c r="M56" i="2"/>
  <c r="N55" i="2"/>
  <c r="N160" i="2" s="1"/>
  <c r="M55" i="2"/>
  <c r="M160" i="2" s="1"/>
  <c r="N54" i="2"/>
  <c r="M54" i="2"/>
  <c r="N53" i="2"/>
  <c r="M53" i="2"/>
  <c r="N52" i="2"/>
  <c r="M52" i="2"/>
  <c r="N51" i="2"/>
  <c r="M51" i="2"/>
  <c r="N50" i="2"/>
  <c r="M50" i="2"/>
  <c r="N49" i="2"/>
  <c r="M49" i="2"/>
  <c r="M48" i="2"/>
  <c r="L48" i="2"/>
  <c r="N48" i="2" s="1"/>
  <c r="N47" i="2"/>
  <c r="M47" i="2"/>
  <c r="N46" i="2"/>
  <c r="M46" i="2"/>
  <c r="N45" i="2"/>
  <c r="M45" i="2"/>
  <c r="M44" i="2"/>
  <c r="L44" i="2"/>
  <c r="N44" i="2" s="1"/>
  <c r="M43" i="2"/>
  <c r="L43" i="2"/>
  <c r="N43" i="2" s="1"/>
  <c r="J43" i="2"/>
  <c r="M42" i="2"/>
  <c r="L42" i="2"/>
  <c r="N42" i="2" s="1"/>
  <c r="N41" i="2"/>
  <c r="M41" i="2"/>
  <c r="L41" i="2"/>
  <c r="M40" i="2"/>
  <c r="L40" i="2"/>
  <c r="N40" i="2" s="1"/>
  <c r="N39" i="2"/>
  <c r="M39" i="2"/>
  <c r="L39" i="2"/>
  <c r="M38" i="2"/>
  <c r="L38" i="2"/>
  <c r="N38" i="2" s="1"/>
  <c r="N37" i="2"/>
  <c r="M37" i="2"/>
  <c r="L37" i="2"/>
  <c r="M36" i="2"/>
  <c r="M35" i="2" s="1"/>
  <c r="L36" i="2"/>
  <c r="N36" i="2" s="1"/>
  <c r="P35" i="2"/>
  <c r="O35" i="2"/>
  <c r="K35" i="2"/>
  <c r="J35" i="2"/>
  <c r="I35" i="2"/>
  <c r="J33" i="2"/>
  <c r="I33" i="2"/>
  <c r="L30" i="2"/>
  <c r="N30" i="2" s="1"/>
  <c r="L29" i="2"/>
  <c r="N29" i="2" s="1"/>
  <c r="M28" i="2"/>
  <c r="L28" i="2"/>
  <c r="N28" i="2" s="1"/>
  <c r="J28" i="2"/>
  <c r="J159" i="2" s="1"/>
  <c r="J157" i="2" s="1"/>
  <c r="P27" i="2"/>
  <c r="O27" i="2"/>
  <c r="K27" i="2"/>
  <c r="J27" i="2"/>
  <c r="I27" i="2"/>
  <c r="N35" i="2" l="1"/>
  <c r="N57" i="2"/>
  <c r="L117" i="2"/>
  <c r="L116" i="2" s="1"/>
  <c r="L153" i="2"/>
  <c r="L151" i="2" s="1"/>
  <c r="M153" i="2"/>
  <c r="M151" i="2" s="1"/>
  <c r="M117" i="2"/>
  <c r="M116" i="2" s="1"/>
  <c r="N93" i="2"/>
  <c r="I157" i="2"/>
  <c r="N63" i="2"/>
  <c r="N27" i="2"/>
  <c r="M159" i="2"/>
  <c r="M157" i="2" s="1"/>
  <c r="L35" i="2"/>
  <c r="L63" i="2"/>
  <c r="N78" i="2"/>
  <c r="N77" i="2" s="1"/>
  <c r="M114" i="2"/>
  <c r="N120" i="2"/>
  <c r="N118" i="2" s="1"/>
  <c r="N144" i="2"/>
  <c r="N142" i="2" s="1"/>
  <c r="I153" i="2"/>
  <c r="I151" i="2" s="1"/>
  <c r="O153" i="2"/>
  <c r="O151" i="2" s="1"/>
  <c r="K159" i="2"/>
  <c r="K157" i="2" s="1"/>
  <c r="M161" i="2"/>
  <c r="N111" i="2"/>
  <c r="N107" i="2" s="1"/>
  <c r="L114" i="2"/>
  <c r="L112" i="2" s="1"/>
  <c r="L27" i="2"/>
  <c r="M27" i="2"/>
  <c r="L159" i="2"/>
  <c r="L157" i="2" s="1"/>
  <c r="N161" i="2"/>
  <c r="L162" i="2"/>
  <c r="L57" i="2"/>
  <c r="I114" i="2"/>
  <c r="I112" i="2" s="1"/>
  <c r="M115" i="2"/>
  <c r="O117" i="2"/>
  <c r="O116" i="2" s="1"/>
  <c r="N141" i="2"/>
  <c r="L147" i="1"/>
  <c r="N147" i="1" s="1"/>
  <c r="L144" i="1"/>
  <c r="K142" i="1"/>
  <c r="L142" i="1"/>
  <c r="N153" i="2" l="1"/>
  <c r="N117" i="2"/>
  <c r="N116" i="2" s="1"/>
  <c r="N114" i="2"/>
  <c r="N112" i="2" s="1"/>
  <c r="N156" i="2"/>
  <c r="N162" i="2"/>
  <c r="M112" i="2"/>
  <c r="N159" i="2"/>
  <c r="L135" i="1"/>
  <c r="L137" i="1"/>
  <c r="L136" i="1"/>
  <c r="N157" i="2" l="1"/>
  <c r="N151" i="2"/>
  <c r="L38" i="1"/>
  <c r="L37" i="1"/>
  <c r="L43" i="1" l="1"/>
  <c r="L94" i="1"/>
  <c r="L99" i="1"/>
  <c r="N121" i="1"/>
  <c r="N119" i="1"/>
  <c r="L120" i="1"/>
  <c r="N120" i="1" s="1"/>
  <c r="M120" i="1"/>
  <c r="M121" i="1"/>
  <c r="M119" i="1"/>
  <c r="L98" i="1"/>
  <c r="L78" i="1"/>
  <c r="M89" i="1"/>
  <c r="M88" i="1"/>
  <c r="L118" i="1" l="1"/>
  <c r="M118" i="1"/>
  <c r="N118" i="1"/>
  <c r="L76" i="1"/>
  <c r="L75" i="1"/>
  <c r="L70" i="1"/>
  <c r="L62" i="1"/>
  <c r="L59" i="1"/>
  <c r="L60" i="1"/>
  <c r="L58" i="1"/>
  <c r="L61" i="1"/>
  <c r="L42" i="1"/>
  <c r="L41" i="1"/>
  <c r="L39" i="1"/>
  <c r="L36" i="1"/>
  <c r="L40" i="1"/>
  <c r="L44" i="1"/>
  <c r="L30" i="1"/>
  <c r="L29" i="1"/>
  <c r="L28" i="1"/>
  <c r="K129" i="1"/>
  <c r="K118" i="1"/>
  <c r="K117" i="1" s="1"/>
  <c r="K116" i="1" s="1"/>
  <c r="N41" i="1" l="1"/>
  <c r="M41" i="1"/>
  <c r="M145" i="1"/>
  <c r="L146" i="1"/>
  <c r="M146" i="1"/>
  <c r="M147" i="1"/>
  <c r="N148" i="1"/>
  <c r="M148" i="1"/>
  <c r="N149" i="1"/>
  <c r="M149" i="1"/>
  <c r="L150" i="1"/>
  <c r="M150" i="1"/>
  <c r="M144" i="1"/>
  <c r="L141" i="1"/>
  <c r="M141" i="1"/>
  <c r="L139" i="1"/>
  <c r="M139" i="1"/>
  <c r="L140" i="1"/>
  <c r="M140" i="1"/>
  <c r="M136" i="1"/>
  <c r="M137" i="1"/>
  <c r="M138" i="1"/>
  <c r="L132" i="1"/>
  <c r="M132" i="1"/>
  <c r="M133" i="1"/>
  <c r="L134" i="1"/>
  <c r="M134" i="1"/>
  <c r="M135" i="1"/>
  <c r="O129" i="1"/>
  <c r="P129" i="1"/>
  <c r="M131" i="1"/>
  <c r="L131" i="1"/>
  <c r="N122" i="1"/>
  <c r="M122" i="1"/>
  <c r="N123" i="1"/>
  <c r="M123" i="1"/>
  <c r="N124" i="1"/>
  <c r="M124" i="1"/>
  <c r="N125" i="1"/>
  <c r="M125" i="1"/>
  <c r="N126" i="1"/>
  <c r="M126" i="1"/>
  <c r="N127" i="1"/>
  <c r="M127" i="1"/>
  <c r="N128" i="1"/>
  <c r="M128" i="1"/>
  <c r="N109" i="1"/>
  <c r="M109" i="1"/>
  <c r="N110" i="1"/>
  <c r="M110" i="1"/>
  <c r="L111" i="1"/>
  <c r="M111" i="1"/>
  <c r="M108" i="1"/>
  <c r="N108" i="1"/>
  <c r="N95" i="1"/>
  <c r="M95" i="1"/>
  <c r="N96" i="1"/>
  <c r="M96" i="1"/>
  <c r="N97" i="1"/>
  <c r="M97" i="1"/>
  <c r="N98" i="1"/>
  <c r="M98" i="1"/>
  <c r="N99" i="1"/>
  <c r="M99" i="1"/>
  <c r="N100" i="1"/>
  <c r="M100" i="1"/>
  <c r="N101" i="1"/>
  <c r="M101" i="1"/>
  <c r="L102" i="1"/>
  <c r="M102" i="1"/>
  <c r="N103" i="1"/>
  <c r="M103" i="1"/>
  <c r="L104" i="1"/>
  <c r="M104" i="1"/>
  <c r="L105" i="1"/>
  <c r="M105" i="1"/>
  <c r="L106" i="1"/>
  <c r="M106" i="1"/>
  <c r="M94" i="1"/>
  <c r="N94" i="1"/>
  <c r="L79" i="1"/>
  <c r="M79" i="1"/>
  <c r="L80" i="1"/>
  <c r="M80" i="1"/>
  <c r="N81" i="1"/>
  <c r="M81" i="1"/>
  <c r="N82" i="1"/>
  <c r="M82" i="1"/>
  <c r="L83" i="1"/>
  <c r="M83" i="1"/>
  <c r="N84" i="1"/>
  <c r="M84" i="1"/>
  <c r="L85" i="1"/>
  <c r="M85" i="1"/>
  <c r="N86" i="1"/>
  <c r="M86" i="1"/>
  <c r="L87" i="1"/>
  <c r="M87" i="1"/>
  <c r="N88" i="1"/>
  <c r="N89" i="1"/>
  <c r="N90" i="1"/>
  <c r="M90" i="1"/>
  <c r="L91" i="1"/>
  <c r="M91" i="1"/>
  <c r="L92" i="1"/>
  <c r="M92" i="1"/>
  <c r="M78" i="1"/>
  <c r="N78" i="1"/>
  <c r="N76" i="1"/>
  <c r="M76" i="1"/>
  <c r="M75" i="1"/>
  <c r="N75" i="1"/>
  <c r="N65" i="1"/>
  <c r="M65" i="1"/>
  <c r="L66" i="1"/>
  <c r="M66" i="1"/>
  <c r="N67" i="1"/>
  <c r="M67" i="1"/>
  <c r="N68" i="1"/>
  <c r="M68" i="1"/>
  <c r="N69" i="1"/>
  <c r="M69" i="1"/>
  <c r="N70" i="1"/>
  <c r="M70" i="1"/>
  <c r="N71" i="1"/>
  <c r="M71" i="1"/>
  <c r="L72" i="1"/>
  <c r="M72" i="1"/>
  <c r="L73" i="1"/>
  <c r="M73" i="1"/>
  <c r="M64" i="1"/>
  <c r="L64" i="1"/>
  <c r="N60" i="1"/>
  <c r="M60" i="1"/>
  <c r="N62" i="1"/>
  <c r="M62" i="1"/>
  <c r="M58" i="1"/>
  <c r="N58" i="1"/>
  <c r="M38" i="1"/>
  <c r="M39" i="1"/>
  <c r="M40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36" i="1"/>
  <c r="N38" i="1"/>
  <c r="N39" i="1"/>
  <c r="N40" i="1"/>
  <c r="N42" i="1"/>
  <c r="N43" i="1"/>
  <c r="N44" i="1"/>
  <c r="N45" i="1"/>
  <c r="N46" i="1"/>
  <c r="N47" i="1"/>
  <c r="L48" i="1"/>
  <c r="N49" i="1"/>
  <c r="N50" i="1"/>
  <c r="N51" i="1"/>
  <c r="N52" i="1"/>
  <c r="N53" i="1"/>
  <c r="N54" i="1"/>
  <c r="N55" i="1"/>
  <c r="N56" i="1"/>
  <c r="N36" i="1"/>
  <c r="N29" i="1"/>
  <c r="N30" i="1"/>
  <c r="M28" i="1"/>
  <c r="N73" i="1" l="1"/>
  <c r="N92" i="1"/>
  <c r="N85" i="1"/>
  <c r="N79" i="1"/>
  <c r="N105" i="1"/>
  <c r="N102" i="1"/>
  <c r="N111" i="1"/>
  <c r="N135" i="1"/>
  <c r="N136" i="1"/>
  <c r="N141" i="1"/>
  <c r="N146" i="1"/>
  <c r="N131" i="1"/>
  <c r="N144" i="1"/>
  <c r="N87" i="1"/>
  <c r="N138" i="1"/>
  <c r="N140" i="1"/>
  <c r="N145" i="1"/>
  <c r="N64" i="1"/>
  <c r="N48" i="1"/>
  <c r="N83" i="1"/>
  <c r="N80" i="1"/>
  <c r="N106" i="1"/>
  <c r="N133" i="1"/>
  <c r="N137" i="1"/>
  <c r="N139" i="1"/>
  <c r="N150" i="1"/>
  <c r="N72" i="1"/>
  <c r="N66" i="1"/>
  <c r="N91" i="1"/>
  <c r="N104" i="1"/>
  <c r="N134" i="1"/>
  <c r="M129" i="1"/>
  <c r="N132" i="1"/>
  <c r="L129" i="1"/>
  <c r="L117" i="1" s="1"/>
  <c r="N37" i="1"/>
  <c r="M37" i="1"/>
  <c r="N28" i="1"/>
  <c r="N129" i="1" l="1"/>
  <c r="N61" i="1"/>
  <c r="M61" i="1"/>
  <c r="M59" i="1"/>
  <c r="N59" i="1"/>
  <c r="P162" i="1"/>
  <c r="O162" i="1"/>
  <c r="M162" i="1"/>
  <c r="L162" i="1"/>
  <c r="K162" i="1"/>
  <c r="J162" i="1"/>
  <c r="I162" i="1"/>
  <c r="P161" i="1"/>
  <c r="O161" i="1"/>
  <c r="M161" i="1"/>
  <c r="L161" i="1"/>
  <c r="K161" i="1"/>
  <c r="P160" i="1"/>
  <c r="O160" i="1"/>
  <c r="M160" i="1"/>
  <c r="L160" i="1"/>
  <c r="K160" i="1"/>
  <c r="J160" i="1"/>
  <c r="I160" i="1"/>
  <c r="P156" i="1"/>
  <c r="O156" i="1"/>
  <c r="M156" i="1"/>
  <c r="L156" i="1"/>
  <c r="K156" i="1"/>
  <c r="J156" i="1"/>
  <c r="I156" i="1"/>
  <c r="P155" i="1"/>
  <c r="O155" i="1"/>
  <c r="M155" i="1"/>
  <c r="L155" i="1"/>
  <c r="K155" i="1"/>
  <c r="P154" i="1"/>
  <c r="O154" i="1"/>
  <c r="M154" i="1"/>
  <c r="L154" i="1"/>
  <c r="K154" i="1"/>
  <c r="J154" i="1"/>
  <c r="I154" i="1"/>
  <c r="P142" i="1"/>
  <c r="P117" i="1" s="1"/>
  <c r="O142" i="1"/>
  <c r="O117" i="1" s="1"/>
  <c r="M142" i="1"/>
  <c r="M117" i="1" s="1"/>
  <c r="J129" i="1"/>
  <c r="I129" i="1"/>
  <c r="J124" i="1"/>
  <c r="J161" i="1" s="1"/>
  <c r="I124" i="1"/>
  <c r="I161" i="1" s="1"/>
  <c r="P115" i="1"/>
  <c r="O115" i="1"/>
  <c r="M115" i="1"/>
  <c r="L115" i="1"/>
  <c r="K115" i="1"/>
  <c r="J115" i="1"/>
  <c r="I115" i="1"/>
  <c r="P114" i="1"/>
  <c r="O114" i="1"/>
  <c r="P107" i="1"/>
  <c r="O107" i="1"/>
  <c r="M107" i="1"/>
  <c r="L107" i="1"/>
  <c r="K107" i="1"/>
  <c r="J107" i="1"/>
  <c r="I107" i="1"/>
  <c r="J103" i="1"/>
  <c r="J93" i="1" s="1"/>
  <c r="I103" i="1"/>
  <c r="I114" i="1" s="1"/>
  <c r="P93" i="1"/>
  <c r="O93" i="1"/>
  <c r="M93" i="1"/>
  <c r="K93" i="1"/>
  <c r="P77" i="1"/>
  <c r="O77" i="1"/>
  <c r="M77" i="1"/>
  <c r="L77" i="1"/>
  <c r="K77" i="1"/>
  <c r="J77" i="1"/>
  <c r="I77" i="1"/>
  <c r="P74" i="1"/>
  <c r="O74" i="1"/>
  <c r="M74" i="1"/>
  <c r="L74" i="1"/>
  <c r="K74" i="1"/>
  <c r="J74" i="1"/>
  <c r="I74" i="1"/>
  <c r="P63" i="1"/>
  <c r="O63" i="1"/>
  <c r="M63" i="1"/>
  <c r="J63" i="1"/>
  <c r="I63" i="1"/>
  <c r="P57" i="1"/>
  <c r="O57" i="1"/>
  <c r="M57" i="1"/>
  <c r="J57" i="1"/>
  <c r="I57" i="1"/>
  <c r="J43" i="1"/>
  <c r="J35" i="1" s="1"/>
  <c r="P35" i="1"/>
  <c r="O35" i="1"/>
  <c r="M35" i="1"/>
  <c r="I35" i="1"/>
  <c r="J33" i="1"/>
  <c r="I33" i="1"/>
  <c r="J28" i="1"/>
  <c r="J27" i="1" s="1"/>
  <c r="P27" i="1"/>
  <c r="O27" i="1"/>
  <c r="M27" i="1"/>
  <c r="L27" i="1"/>
  <c r="K27" i="1"/>
  <c r="I27" i="1"/>
  <c r="M114" i="1" l="1"/>
  <c r="J153" i="1"/>
  <c r="J117" i="1"/>
  <c r="I153" i="1"/>
  <c r="I117" i="1"/>
  <c r="I116" i="1" s="1"/>
  <c r="L57" i="1"/>
  <c r="P112" i="1"/>
  <c r="K153" i="1"/>
  <c r="L153" i="1"/>
  <c r="M159" i="1"/>
  <c r="M157" i="1" s="1"/>
  <c r="M112" i="1"/>
  <c r="O159" i="1"/>
  <c r="O157" i="1" s="1"/>
  <c r="N162" i="1"/>
  <c r="O153" i="1"/>
  <c r="O151" i="1" s="1"/>
  <c r="O116" i="1" s="1"/>
  <c r="P159" i="1"/>
  <c r="P157" i="1" s="1"/>
  <c r="L93" i="1"/>
  <c r="O112" i="1"/>
  <c r="J114" i="1"/>
  <c r="J112" i="1" s="1"/>
  <c r="I159" i="1"/>
  <c r="I157" i="1" s="1"/>
  <c r="N161" i="1"/>
  <c r="I112" i="1"/>
  <c r="I155" i="1"/>
  <c r="N27" i="1"/>
  <c r="N93" i="1"/>
  <c r="N74" i="1"/>
  <c r="N142" i="1"/>
  <c r="N117" i="1" s="1"/>
  <c r="N107" i="1"/>
  <c r="N115" i="1"/>
  <c r="N154" i="1"/>
  <c r="N160" i="1"/>
  <c r="K57" i="1"/>
  <c r="N57" i="1"/>
  <c r="N63" i="1"/>
  <c r="N35" i="1"/>
  <c r="N114" i="1"/>
  <c r="N77" i="1"/>
  <c r="N156" i="1"/>
  <c r="M153" i="1"/>
  <c r="M151" i="1" s="1"/>
  <c r="M116" i="1" s="1"/>
  <c r="I93" i="1"/>
  <c r="P153" i="1"/>
  <c r="P151" i="1" s="1"/>
  <c r="P116" i="1" s="1"/>
  <c r="J155" i="1"/>
  <c r="J151" i="1" s="1"/>
  <c r="J116" i="1" s="1"/>
  <c r="N155" i="1"/>
  <c r="J159" i="1"/>
  <c r="I151" i="1" l="1"/>
  <c r="L151" i="1"/>
  <c r="L116" i="1" s="1"/>
  <c r="K151" i="1"/>
  <c r="N153" i="1"/>
  <c r="N151" i="1" s="1"/>
  <c r="N116" i="1" s="1"/>
  <c r="N112" i="1"/>
  <c r="N159" i="1"/>
  <c r="N157" i="1" s="1"/>
  <c r="J157" i="1"/>
  <c r="K35" i="1" l="1"/>
  <c r="L35" i="1" l="1"/>
  <c r="K63" i="1" l="1"/>
  <c r="K159" i="1"/>
  <c r="K157" i="1" s="1"/>
  <c r="L114" i="1"/>
  <c r="K114" i="1"/>
  <c r="K112" i="1" s="1"/>
  <c r="L159" i="1"/>
  <c r="L112" i="1" l="1"/>
  <c r="L157" i="1"/>
  <c r="L63" i="1"/>
</calcChain>
</file>

<file path=xl/sharedStrings.xml><?xml version="1.0" encoding="utf-8"?>
<sst xmlns="http://schemas.openxmlformats.org/spreadsheetml/2006/main" count="1489" uniqueCount="369">
  <si>
    <t>Информация</t>
  </si>
  <si>
    <t>об использовании бюджетных ассигнований краевого бюджета и иных средств на реализацию государственной программы Красноярского края</t>
  </si>
  <si>
    <t>№ п/п</t>
  </si>
  <si>
    <t>Структурный элемент государственной программы, мероприятия структурного элемента</t>
  </si>
  <si>
    <t>Наименование главного распорядителя бюджетных средств (далее - ГРБС)</t>
  </si>
  <si>
    <t>Код бюджетной классификации</t>
  </si>
  <si>
    <t>Примечание</t>
  </si>
  <si>
    <t>ГРБС</t>
  </si>
  <si>
    <t>РзПр</t>
  </si>
  <si>
    <t>ЦСР</t>
  </si>
  <si>
    <t>ВР</t>
  </si>
  <si>
    <t>2023  (отчетный год)</t>
  </si>
  <si>
    <t>2024  (текущий год)</t>
  </si>
  <si>
    <t>Плановый период</t>
  </si>
  <si>
    <t>Значение на конец года</t>
  </si>
  <si>
    <t>1-ый год (2025 год)</t>
  </si>
  <si>
    <t>2-ой год (2026 год)</t>
  </si>
  <si>
    <t>план</t>
  </si>
  <si>
    <t>факт</t>
  </si>
  <si>
    <t>Цель государственной программы Красноярского края</t>
  </si>
  <si>
    <t>Цель 1. Достижение значения индекса производства продукции сельского хозяйства (в сопоставимых ценах) в 2030 году в объеме 111,3% от уровня 2020 года.</t>
  </si>
  <si>
    <t>Цель 2. Достижение значения индекса производства пищевых продуктов (в сопоставимых ценах) в 2030 году в объеме 115,1% от уровня 2020 года.</t>
  </si>
  <si>
    <t>Цель 3. Достижение уровня среднемесячной начисленной заработной платы работников сельского хозяйства (без субъектов малого предпринимательства) в 2030 году в размере 54371,0 рубля.</t>
  </si>
  <si>
    <t>Цель 4. Достижение объема экспорта продукции агропромышленного комплекса (в сопоставимых ценах) в размере 0,0306 млрд долл. США к концу 2024 года.</t>
  </si>
  <si>
    <t>Цель 5. Сохранение к 2031 году доли сельского населения в общей численности населения Российской Федерации на уровне 20,41%.</t>
  </si>
  <si>
    <t>Цель 6. Достижение к 2031 году соотношения среднемесячных располагаемых ресурсов сельского и городского домохозяйств в размере 80,0%.</t>
  </si>
  <si>
    <t>Цель 7. Повышение к 2031 году доли общей площади благоустроенных жилых помещений в сельских населенных пунктах до 17,8%</t>
  </si>
  <si>
    <t>Проектная часть</t>
  </si>
  <si>
    <t>1.</t>
  </si>
  <si>
    <t>Региональный проект «Акселерация субъектов малого и среднего предпринимательства»</t>
  </si>
  <si>
    <t>1.1.</t>
  </si>
  <si>
    <t>Создание системы поддержки фермеров и развитие сельской кооперации (гранты «Агростартап» в форме субсидий крестьянским (фермерским) хозяйствам или индивидуальным предпринимателям, являющимся главами крестьянских (фермерских) хозяйств, основными видами деятельности которых являются производство и (или) переработка сельскохозяйственной продукции, на финансовое обеспечение затрат, связанных с реализацией проекта создания и (или) развития хозяйства)</t>
  </si>
  <si>
    <t>министерство сельского хозяйства  Красноярского края</t>
  </si>
  <si>
    <t>121</t>
  </si>
  <si>
    <t>0405</t>
  </si>
  <si>
    <t>142I554801</t>
  </si>
  <si>
    <t>810</t>
  </si>
  <si>
    <t>1.2.</t>
  </si>
  <si>
    <t>142I554802</t>
  </si>
  <si>
    <t>630</t>
  </si>
  <si>
    <t>1.3.</t>
  </si>
  <si>
    <t xml:space="preserve">Создание системы поддержки фермеров и развитие сельской кооперации (субсидии центру компетенций в сфере сельскохозяйственной кооперации и поддержки фермеров на финансовое обеспечение (возмещение) затрат, связанных с осуществлением его деятельности) </t>
  </si>
  <si>
    <t>142I554803</t>
  </si>
  <si>
    <t>Субсидии центру компетенций в сфере сельскохозяйственной кооперации и поддержки фермеров на финансовое обеспечение (возмещение) затрат, связанных с осуществлением его деятельности</t>
  </si>
  <si>
    <t>145I754804</t>
  </si>
  <si>
    <t>Региональный проект "Экспорт продукции АПК Красноярского края"</t>
  </si>
  <si>
    <t xml:space="preserve">Субсидии на возмещение части затрат на производство масличных культур </t>
  </si>
  <si>
    <t>14БТ252590</t>
  </si>
  <si>
    <t>2.</t>
  </si>
  <si>
    <t>Ведомственный проект «Развитие отраслей и техническая модернизация агропромышленного комплекса»</t>
  </si>
  <si>
    <t>2.1.</t>
  </si>
  <si>
    <t>Субсидии на поддержку приоритетных направлений агропромышленного комплекса и развития малых форм хозяйствования (субсидии на возмещение части затрат на поддержку элитного семеноводства и (или) на приобретение семян, произведенных в рамках Федеральной научно-технической программы)</t>
  </si>
  <si>
    <t>14301R5013</t>
  </si>
  <si>
    <t>2.2.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</si>
  <si>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на поддержку племенного животноводства)</t>
  </si>
  <si>
    <t>14301R5014</t>
  </si>
  <si>
    <t>2.3.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</si>
  <si>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на поддержку сельскохозяйственного страхования)</t>
  </si>
  <si>
    <t>14301R5015</t>
  </si>
  <si>
    <t>2.4.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</si>
  <si>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 на посевной площади, занятой зерновыми, зернобобовыми, масличными (за исключением рапса и сои), кормовыми сельскохозяйственными культурами)</t>
  </si>
  <si>
    <t>14301R5016</t>
  </si>
  <si>
    <t>2.5.</t>
  </si>
  <si>
    <t>Субсидии на поддержку приоритетных направлений агропромышленного комплекса и развития малых форм хозяйствования (субсидии на возмещение части затрат на поддержку производства молока)</t>
  </si>
  <si>
    <t>14301R5012</t>
  </si>
  <si>
    <t>2.6.</t>
  </si>
  <si>
    <t>Субсидии на поддержку приоритетных направлений агропромышленного комплекса и развитие малых форм хозяйствования (субсидии на возмещение части затрат семейных ферм)</t>
  </si>
  <si>
    <t>2.7.</t>
  </si>
  <si>
    <t>Субсидии на поддержку приоритетных направлений агропромышленного комплекса и развитие малых форм хозяйствования (гранты в форме субсидий на финансовое обеспечение затрат на развитие материально-технической базы)</t>
  </si>
  <si>
    <t>14301R5019</t>
  </si>
  <si>
    <t>2.8.</t>
  </si>
  <si>
    <t xml:space="preserve">Субсидии на финансовое обеспечение (возмещение) части затрат на производство и реализацию зерновых культур  </t>
  </si>
  <si>
    <t>14301R3580</t>
  </si>
  <si>
    <t>2.9.</t>
  </si>
  <si>
    <t>Субсидии на поддержку приоритетных направлений агропромышленного комплекса и развития малых форм хозяйствования (субсидии на возмещение части затрат на поддержку переработки молока сырого крупного рогатого скота, козьего и овечьего на пищевую продукцию)</t>
  </si>
  <si>
    <t>14301R5011</t>
  </si>
  <si>
    <t>2.10.</t>
  </si>
  <si>
    <t>Субсидии на возмещение части затрат на проведение агротехнологических работ в растениеводстве</t>
  </si>
  <si>
    <t>1430121880</t>
  </si>
  <si>
    <t>2.11.</t>
  </si>
  <si>
    <t>Субсидии на возмещение части затрат на содержание сельскохозяйственных животных, выращивание товарной рыбы</t>
  </si>
  <si>
    <t>1430124050</t>
  </si>
  <si>
    <t>2.12.</t>
  </si>
  <si>
    <t>Субсидии на возмещение части затрат на уплату процентов по кредитным договорам (договорам займа), заключенным с 1 января 2017 года на срок до 2 лет</t>
  </si>
  <si>
    <t>1430124300</t>
  </si>
  <si>
    <t>630, 810</t>
  </si>
  <si>
    <t>2.13.</t>
  </si>
  <si>
    <t>Гранты в форме субсидий научным организациям на финансовое обеспечение затрат на развитие материально-технической базы, необходимой для производства и реализации сельскохозяйственной продукции собственного производства</t>
  </si>
  <si>
    <t>1430124470</t>
  </si>
  <si>
    <t>2.14.</t>
  </si>
  <si>
    <t>Расходы на закупку техники и оборудования для их последующей передачи в федеральную собственность в целях государственной поддержки сельскохозяйственного производства, осуществляемого федеральными казенными учреждениями Федеральной службы исполнения наказаний, расположенными на территории края</t>
  </si>
  <si>
    <t>1430121760</t>
  </si>
  <si>
    <t>240</t>
  </si>
  <si>
    <t>2.15.</t>
  </si>
  <si>
    <t xml:space="preserve">Субсидии на возмещение части затрат на приобретение техники и оборудования по договорам купли-продажи и (или) финансовой аренды (лизинга) </t>
  </si>
  <si>
    <t>1430122970</t>
  </si>
  <si>
    <t>2.16.</t>
  </si>
  <si>
    <t>Субсидии на компенсацию части затрат, связанных с оплатой очередных лизинговых или арендных платежей</t>
  </si>
  <si>
    <t>1430122390</t>
  </si>
  <si>
    <t>2.17.</t>
  </si>
  <si>
    <t>Субсидии на возмещение части затрат, связанных с проведением капитального ремонта тракторов и (или) их агрегатов</t>
  </si>
  <si>
    <t>1430121750</t>
  </si>
  <si>
    <t>2.18.</t>
  </si>
  <si>
    <t>Субсидии на финансовое обеспечение (возмещение) части затрат, связанных с приобретением сельскохозяйственной техники для оказания крестьянским (фермерским) хозяйствам и индивидуальным предпринимателям, являющимся сельскохозяйственными товаропроизводителями и членами сельскохозяйственного потребительского кооператива, гражданам, ведущим ЛПХ, являющимся членами сельскохозяйственного потребительского кооператива, услуг по обработке земли (вспашке, посадке, внесению минеральных удобрений, прополке и уборке урожая)</t>
  </si>
  <si>
    <t>1430122950</t>
  </si>
  <si>
    <t>2.19.</t>
  </si>
  <si>
    <t>Субсидии на финансовое обеспечение (возмещение) части затрат, связанных с приобретением техники и оборудования, специализированного транспорта, печей (крематоров, инсинераторов) для утилизации биологических отходов, модульных объектов и (или) оборудования, предназначенных для убоя сельскохозяйственных животных</t>
  </si>
  <si>
    <t>1430122480</t>
  </si>
  <si>
    <t>2.20.</t>
  </si>
  <si>
    <t>Расходы на проведение на территории края мероприятий по предупреждению и ликвидации болезней животных, их лечению, защите населения от болезней, общих для человека и животных</t>
  </si>
  <si>
    <t>служба по ветеринарному надзору Красноярского края</t>
  </si>
  <si>
    <t>120</t>
  </si>
  <si>
    <t>1430122760</t>
  </si>
  <si>
    <t>2.21.</t>
  </si>
  <si>
    <t>Субсидии сельскохозяйственным товаропроизводителям (за исключением крестьянских (фермерских) хозяйств, индивидуальных предпринимателей, являющихся сельскохозяйственными товаропроизводителями), имеющим доход от реализации товаров (работ, услуг) менее 1 миллиарда рублей за 2022 год и понесшим затраты в 2022 - 2023 годах, на возмещение части затрат на приобретение техники и оборудования по договорам купли-продажи и (или) финансовой аренды (лизинга)</t>
  </si>
  <si>
    <t>1430122790</t>
  </si>
  <si>
    <t>3.</t>
  </si>
  <si>
    <t>Ведомственный проект «Развитие отраслей овощеводства и картофелеводства»</t>
  </si>
  <si>
    <t>3.1.</t>
  </si>
  <si>
    <t xml:space="preserve">Субсидии на стимулирование увеличения производства картофеля и овощей (субсидии на возмещение части затрат на поддержку элитного и (или) оригинального семеноводства картофеля и (или) овощных культур, включая гибриды овощных культур) </t>
  </si>
  <si>
    <t>14302R0142</t>
  </si>
  <si>
    <t>3.2.</t>
  </si>
  <si>
    <t>Субсидии на стимулирование увеличения производства картофеля и овощей (субсидии на возмещение части затрат на поддержку производства картофеля и овощей открытого грунта)</t>
  </si>
  <si>
    <t>14302R0144</t>
  </si>
  <si>
    <t>3.3.</t>
  </si>
  <si>
    <t>Субсидии на стимулирование увеличения производства картофеля и овощей (субсидии на возмещение части затрат на производство овощей защищенного грунта, произведенных с применением технологии досвечивания)</t>
  </si>
  <si>
    <t>14302R0143</t>
  </si>
  <si>
    <t>3.4.</t>
  </si>
  <si>
    <t xml:space="preserve">Субсидии на стимулирование увеличения производства картофеля и овощей (субсидии на возмещение части затрат на проведение агротехнологических работ, повышение уровня экологической безопасности сельскохозяйственного производства, а также на повышение плодородия и качества почв на посевной площади, занятой картофелем и овощными культурами открытого грунта) </t>
  </si>
  <si>
    <t>14302R0141</t>
  </si>
  <si>
    <t>3.5.</t>
  </si>
  <si>
    <t>Субсидии на стимулирование увеличения производства картофеля и овощей (субсидии на возмещение части затрат на поддержку производства картофеля и овощей открытого грунта гражданам, ведущим личное подсобное хозяйство и применяющим специальный налоговый режим "Налог на профессиональный доход")</t>
  </si>
  <si>
    <t>14302R0145</t>
  </si>
  <si>
    <t>4.</t>
  </si>
  <si>
    <t>Ведомственный проект «Стимулирование инвестиционной деятельности в агропромышленном комплексе»</t>
  </si>
  <si>
    <t>4.1.</t>
  </si>
  <si>
    <t>Субсидии на возмещение части затрат, связанных с реализацией инвестиционных проектов в агропромышленном комплексе по приоритетным направлениям государственной поддержки</t>
  </si>
  <si>
    <t>1430322860</t>
  </si>
  <si>
    <t>4.2.</t>
  </si>
  <si>
    <t>Гранты в форме субсидий на финансовое обеспечение затрат на реализацию инвестиционной программы, соответствующей приоритетным направлениям государственной поддержки и направленной на развитие деятельности, связанной с производством, первичной и (или) последующей (промышленной) переработкой продукции сельского хозяйства и рыбоводства, производством пищевой продукции, заготовкой и переработкой недревесных и пищевых лесных ресурсов и лекарственных растений, оказанием услуг по хранению, складированию, подработке и реализации овощей и картофеля, зерновых и масличных культур</t>
  </si>
  <si>
    <t>1430322380</t>
  </si>
  <si>
    <t>4.3.</t>
  </si>
  <si>
    <t>Субсидии на возмещение (финансовое обеспечение) части затрат на строительство заготовительных пунктов, включая затраты на приобретение технологического оборудования для переработки сельскохозяйственной, лесной продукции</t>
  </si>
  <si>
    <t>1430323120</t>
  </si>
  <si>
    <t>4.4.</t>
  </si>
  <si>
    <t>Субсидии на возмещение части затрат на уплату процентов по кредитным договорам (договорам займа), заключенным на срок до 10 лет, до 15 лет</t>
  </si>
  <si>
    <t>1430322820</t>
  </si>
  <si>
    <t>4.5.</t>
  </si>
  <si>
    <t>Субсидии на возмещение части затрат на уплату процентов по кредитным договорам (договорам займа), заключенным с 1 января 2017 года на срок от 2 до 15 лет</t>
  </si>
  <si>
    <t>1430322890</t>
  </si>
  <si>
    <t>4.6.</t>
  </si>
  <si>
    <t>Субсидии на возмещение части затрат на уплату процентов по кредитным договорам, заключенным с 1 января 2023 года на срок от 2 до 10 лет</t>
  </si>
  <si>
    <t>1430322810</t>
  </si>
  <si>
    <t>4.7.</t>
  </si>
  <si>
    <t xml:space="preserve">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 </t>
  </si>
  <si>
    <t>14303R5260</t>
  </si>
  <si>
    <t>Субсидии на возмещение части прямых понесенных затрат на создание и (или) модернизацию объектов АПК</t>
  </si>
  <si>
    <t>14Г00R4720</t>
  </si>
  <si>
    <t>Субсидии на возмещение части прямых понесенных затрат на создание и (или) модернизацию объектов АПК за счет средств Резервного фонда Правительства РФ</t>
  </si>
  <si>
    <t>14Г00R474F</t>
  </si>
  <si>
    <t>Субсидии на возмещение части затрат на уплату процентов по инвестиционным кредитам (займам), полученным на срок до 8 лет, до 10 лет и до 15 лет</t>
  </si>
  <si>
    <t>14Г00R4330</t>
  </si>
  <si>
    <t>5.</t>
  </si>
  <si>
    <t>Ведомственный проект «Вовлечение в оборот и комплексная мелиорация земель сельскохозяйственного назначения»</t>
  </si>
  <si>
    <t>5.1.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</si>
  <si>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(субсидии на возмещение части затрат на реализацию проектов мелиорации в рамках культуртехнических мероприятий на выбывших сельскохозяйственных угодьях, вовлекаемых в сельскохозяйственный оборот)</t>
  </si>
  <si>
    <t>14304R5982</t>
  </si>
  <si>
    <t>5.2.</t>
  </si>
  <si>
    <t>Субсидии на подготовку проектов межевания земельных участков и на проведение кадастровых работ (субсидии бюджетам муниципальных образований на реализацию мероприятий, связанных с подготовкой проектов межевания земельных участков, проведением кадастровых работ в отношении земельных участков)</t>
  </si>
  <si>
    <t>14304R5991</t>
  </si>
  <si>
    <t>520</t>
  </si>
  <si>
    <t>6.</t>
  </si>
  <si>
    <t>Ведомственный проект «Развитие малых форм хозяйствования и сельскохозяйственной кооперации»</t>
  </si>
  <si>
    <t>6.1.</t>
  </si>
  <si>
    <t>Гранты «Агротуризм» в форме субсидий на финансовое обеспечение затрат, связанных с реализацией проекта развития сельского туризма</t>
  </si>
  <si>
    <t>14305R3410</t>
  </si>
  <si>
    <t>6.2.</t>
  </si>
  <si>
    <t>Грант «Наш фермер» в форме субсидий на финансовое обеспечение затрат, связанных с реализацией проекта по развитию сельскохозяйственной деятельности</t>
  </si>
  <si>
    <t>1430522260</t>
  </si>
  <si>
    <t>6.3.</t>
  </si>
  <si>
    <t>Грант «Региональный продукт» в форме субсидий на финансовое обеспечение затрат, связанных с реализацией проекта по развитию деятельности по переработке сельскохозяйственной продукции, и (или) производству пищевых продуктов, и (или) по заготовке и переработке недревесных и пищевых лесных ресурсов и лекарственных растений</t>
  </si>
  <si>
    <t>1430522270</t>
  </si>
  <si>
    <t>6.4.</t>
  </si>
  <si>
    <t>Грант в форме субсидий на финансовое обеспечение затрат, связанных с реализацией проектов по развитию несельскохозяйственных видов деятельности на сельских территориях края</t>
  </si>
  <si>
    <t>1430522920</t>
  </si>
  <si>
    <t>6.5.</t>
  </si>
  <si>
    <t>Субсидии на возмещение части затрат, связанных с закупом животноводческой продукции (молока, мяса свиней и мяса крупного рогатого скота) у граждан, ведущих личное подсобное хозяйство</t>
  </si>
  <si>
    <t>1430522900</t>
  </si>
  <si>
    <t>6.6.</t>
  </si>
  <si>
    <t>Грант в форме субсидий гражданам, ведущим личное подсобное хозяйство и применяющим специальный налоговый режим «Налог на профессиональный доход», на финансовое обеспечение затрат, связанных с реализацией проекта по развитию личного подсобного хозяйства</t>
  </si>
  <si>
    <t>1430522280</t>
  </si>
  <si>
    <t>6.7.</t>
  </si>
  <si>
    <t>Субсидии на финансовое обеспечение (возмещение) части затрат, связанных с приобретением нетелей, в том числе племенных, и (или) коров, в том числе племенных, молочного направления продуктивности, и (или) молодняка крупного рогатого скота (бычков) в возрасте до 4 месяцев для их последующей передачи в собственность граждан, ведущих личное подсобное хозяйство, являющихся членами сельскохозяйственного потребительского кооператива</t>
  </si>
  <si>
    <t>1430522470</t>
  </si>
  <si>
    <t>6.8.</t>
  </si>
  <si>
    <t>Субсидии на возмещение части затрат, связанных с содержанием коров молочного направления продуктивности, находящихся в собственности и (или) пользовании у граждан, ведущих личное подсобное хозяйство, являющихся членами сельскохозяйственного потребительского кооператива</t>
  </si>
  <si>
    <t>1430522460</t>
  </si>
  <si>
    <t>6.9.</t>
  </si>
  <si>
    <t>Субсидии на возмещение части затрат на удешевление стоимости семени и жидкого азота, реализованных сельскохозяйственным товаропроизводителям, краевым государственным учреждениям ветеринарии для искусственного осеменения сельскохозяйственных животных, принадлежащих гражданам, ведущим личное подсобное хозяйство, крестьянским (фермерским) хозяйствам, индивидуальным предпринимателям, являющимся сельскохозяйственными товаропроизводителями</t>
  </si>
  <si>
    <t>1430522960</t>
  </si>
  <si>
    <t>6.10.</t>
  </si>
  <si>
    <t>Субсидии на возмещение части затрат, связанных с закупкой продовольственной продукции</t>
  </si>
  <si>
    <t>1430522250</t>
  </si>
  <si>
    <t>6.11.</t>
  </si>
  <si>
    <t>Субсидии на возмещение части затрат, связанных с оказанием услуг по продвижению пищевых продуктов</t>
  </si>
  <si>
    <t>1430524350</t>
  </si>
  <si>
    <t>6.12.</t>
  </si>
  <si>
    <t>Субсидии на возмещение части затрат, связанных с перевозкой продовольственной продукции внутренним водным транспортом в районы Крайнего Севера и приравненные к ним местности Красноярского края</t>
  </si>
  <si>
    <t>1430524070</t>
  </si>
  <si>
    <t>6.13.</t>
  </si>
  <si>
    <t>Субсидии на возмещение части затрат на приобретение племенной продукции (материала) по договорам купли-продажи</t>
  </si>
  <si>
    <t>1430522410</t>
  </si>
  <si>
    <t>811</t>
  </si>
  <si>
    <t>Субсидии на возмещение части затрат на уплату процентов по кредитным договорам (договорам займа), заключенным с 1 января 2020 года на срок до 2 лет</t>
  </si>
  <si>
    <t>1450022440</t>
  </si>
  <si>
    <t>Субсидии на финансовое обеспечение (возмещение) части затрат, связанных с приобретением семенного материала овощей и картофеля, минеральных удобрений и средств защиты растений в целях последующей передачи (реализации) в собственность глав крестьянских (фермерских) хозяйств и индивидуальных предпринимателей, являющихся сельскохозяйственными товаропроизводителями и членами сельскохозяйственного потребительского кооператива, граждан, ведущих ЛПХ, являющихся членами сельскохозяйственного потребительского кооператива</t>
  </si>
  <si>
    <t>1450022940</t>
  </si>
  <si>
    <t>7.</t>
  </si>
  <si>
    <t>7.1.</t>
  </si>
  <si>
    <t>Социальные выплаты на строительство (приобретение) жилья гражданам, проживающим на сельских территориях</t>
  </si>
  <si>
    <t>1003</t>
  </si>
  <si>
    <t>14306R5764</t>
  </si>
  <si>
    <t>320</t>
  </si>
  <si>
    <t>7.2.</t>
  </si>
  <si>
    <t>Социальные выплаты на строительство (приобретение) жилья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(в соответствии с Законом края от 7 июля 2022 года № 3-1004)</t>
  </si>
  <si>
    <t>1430622610</t>
  </si>
  <si>
    <t>7.3.</t>
  </si>
  <si>
    <t>Субсидии сельскохозяйственным товаропроизводителям, за исключением граждан, ведущих личное подсобное хозяйство, на возмещение части затрат на строительство жилья в сельской местности, предоставляемого по договорам найма жилого помещения гражданам, проживающим и работающим на селе либо изъявившим желание переехать на постоянное место жительства в сельскую местность и работать там</t>
  </si>
  <si>
    <t>1430622620</t>
  </si>
  <si>
    <t>7.4.</t>
  </si>
  <si>
    <t>Социальные выплаты гражданам, работающим в государственных учреждениях ветеринарии края в сельской местности или в городах, расположенных в районах Крайнего Севера и приравненных к ним местностях, на строительство (приобретение) жилья (в соответствии с Законом края от 7 июля 2022 года № 3-1004)</t>
  </si>
  <si>
    <t>1430622650</t>
  </si>
  <si>
    <t>7.5.</t>
  </si>
  <si>
    <t xml:space="preserve">Субсидии на обеспечение комплексного развития сельских территорий (субсидии на возмещение части фактически понесенных затрат по заключенным ученическим договорам и договорам о целевом обучении с обучающимися в образовательных организациях) </t>
  </si>
  <si>
    <t>14306R5761</t>
  </si>
  <si>
    <t>7.6.</t>
  </si>
  <si>
    <t xml:space="preserve">Субсидии на обеспечение комплексного развития сельских территорий (субсидии на возмещение части фактически понесенных затрат, связанных с оплатой труда и проживанием обучающихся в образовательных организациях, привлеченных для прохождения практики, в том числе производственной практики, и практической подготовки или осуществляющих трудовую деятельность не более 6 месяцев) </t>
  </si>
  <si>
    <t>0709</t>
  </si>
  <si>
    <t>14306R5762</t>
  </si>
  <si>
    <t>7.7.</t>
  </si>
  <si>
    <t>Социальная выплата работникам сельскохозяйственных товаропроизводителей, вновь созданных сельскохозяйственных товаропроизводителей, сельскохозяйственных научных организаций на компенсацию затрат, связанных с получением ими высшего образования по очно-заочной, заочной форме обучения по специальности, направлению подготовки, соответствующим их трудовой функции (в соответствии с Законом края от 21 февраля 2006 года № 17-4487)</t>
  </si>
  <si>
    <t>1430622640</t>
  </si>
  <si>
    <t>7.8.</t>
  </si>
  <si>
    <t>Субсидии сельскохозяйственным товаропроизводителям, вновь созданным сельскохозяйственным товаропроизводителям на возмещение части затрат, связанных с выплатой заработной платы молодому специалисту, студентам в случае их трудоустройства по срочному трудовому договору в период прохождения практической подготовки</t>
  </si>
  <si>
    <t>1430622670</t>
  </si>
  <si>
    <t>630,   810</t>
  </si>
  <si>
    <t>7.9.</t>
  </si>
  <si>
    <t>Социальные выплаты на обустройство молодым работникам, гражданам (в соответствии с Законом края от 7 июля 2022 года № 3-1004)</t>
  </si>
  <si>
    <t>1430622660</t>
  </si>
  <si>
    <t>310</t>
  </si>
  <si>
    <t>7.10.</t>
  </si>
  <si>
    <t>Субсидии сельскохозяйственным товаропроизводителям, вновь созданным сельскохозяйственным товаропроизводителям на возмещение части затрат, связанных с дополнительным профессиональным образованием работников в организациях, осуществляющих образовательную деятельность по дополнительным профессиональным программам, расположенных на территории Российской Федерации (стоимость обучения, расходы по проезду, найму жилого помещения)</t>
  </si>
  <si>
    <t>1430622680</t>
  </si>
  <si>
    <t>7.11.</t>
  </si>
  <si>
    <t>Гранты в форме субсидий образовательным организациям высшего образования на финансовое обеспечение затрат на развитие профессиональной подготовки студентов в области агропромышленного комплекса</t>
  </si>
  <si>
    <t>1430622690</t>
  </si>
  <si>
    <t>610</t>
  </si>
  <si>
    <t>7.12.</t>
  </si>
  <si>
    <t>Социальные выплаты на строительство (приобретение) жилья гражданам, работающим по трудовому договору в должности преподавателя или мастера производственного обучения в профессиональной образовательной организации, осуществляющей подготовку кадров по укрупненной группе профессий и специальностей «Сельское хозяйство и сельскохозяйственные науки» и расположенной в сельской местности, городском поселении, городском округе (за исключением городского округа город Красноярск) (в соответствии с Законом края от 7 июля 2022 года № 3-1004)</t>
  </si>
  <si>
    <t>1430622630</t>
  </si>
  <si>
    <t>Иные межбюджетные трансферты бюджетам муниципальных районов Красноярского края, реализующих муниципальные программы, направленные на развитие сельских территорий</t>
  </si>
  <si>
    <t>1403</t>
  </si>
  <si>
    <t>540</t>
  </si>
  <si>
    <t>8.</t>
  </si>
  <si>
    <t>Ведомственный проект «Поддержка садоводства и огородничества»</t>
  </si>
  <si>
    <t>8.1.</t>
  </si>
  <si>
    <t xml:space="preserve">Субсидии бюджетам муниципальных образований края 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садоводческих, огороднических некоммерческих товариществ к источникам электроснабжения, водоснабжения </t>
  </si>
  <si>
    <t>0505</t>
  </si>
  <si>
    <t>1430775750</t>
  </si>
  <si>
    <t>8.2.</t>
  </si>
  <si>
    <t xml:space="preserve">Гранты в форме субсидий садоводческим, огородническим некоммерческим товариществам на реализацию программ развития инфраструктуры территорий указанных некоммерческих товариществ </t>
  </si>
  <si>
    <t>1430724400</t>
  </si>
  <si>
    <t>8.3.</t>
  </si>
  <si>
    <t xml:space="preserve">Гранты в форме субсидий садоводческим, огородническим некоммерческим товариществам на приобретение оборудования, и (или) строительных материалов, и (или) изделий для проведения работ по ремонту дорог и (или) объектов водоснабжения и (или) электросетевого хозяйства и (или) приобретение пожарного оборудования, пожарного снаряжения для проведения противопожарных мероприятий в пределах территории соответствующего садоводческого, огороднического некоммерческого товарищества </t>
  </si>
  <si>
    <t>1430724420</t>
  </si>
  <si>
    <t>8.4.</t>
  </si>
  <si>
    <t>Гранты в форме субсидий некоммерческим организациям, созданным в форме ассоциаций (союзов), выражающим интересы садоводов, огородников и их некоммерческих товариществ, на реализацию проектов, направленных на ведение и развитие на территории Красноярского края садоводства и огородничества</t>
  </si>
  <si>
    <t>1430724410</t>
  </si>
  <si>
    <t>Итого по проектной части</t>
  </si>
  <si>
    <t>в том числе:</t>
  </si>
  <si>
    <t>Процессная часть</t>
  </si>
  <si>
    <t>9.</t>
  </si>
  <si>
    <t>Комплекс процессных мероприятий «Обеспечение реализации государственной программы и прочие мероприятия»</t>
  </si>
  <si>
    <t>9.1.</t>
  </si>
  <si>
    <t xml:space="preserve">Руководство и управление в сфере установленных функций органов государственной власти </t>
  </si>
  <si>
    <t>1440100210</t>
  </si>
  <si>
    <t>9.2.</t>
  </si>
  <si>
    <t>служба по ветеринарному надзору  Красноярского края</t>
  </si>
  <si>
    <t>120, 240, 320, 830, 850</t>
  </si>
  <si>
    <t>9.3.</t>
  </si>
  <si>
    <t>служба по надзору за техническим состоянием самоходных машин и других видов техники Красноярского края</t>
  </si>
  <si>
    <t>069</t>
  </si>
  <si>
    <t>110, 240, 320, 830, 850</t>
  </si>
  <si>
    <t>9.4.</t>
  </si>
  <si>
    <t xml:space="preserve">Обеспечение деятельности (оказание услуг) подведомственных учреждений </t>
  </si>
  <si>
    <t>1440100610</t>
  </si>
  <si>
    <t>9.5.</t>
  </si>
  <si>
    <t>9.6.</t>
  </si>
  <si>
    <t>1440108100</t>
  </si>
  <si>
    <t>9.7.</t>
  </si>
  <si>
    <t>Обеспечение деятельности (оказание услуг) подведомственных учреждений за счет доходов от сдачи в аренду имущества</t>
  </si>
  <si>
    <t>1440107200</t>
  </si>
  <si>
    <t>9.8.</t>
  </si>
  <si>
    <t>Субвенции бюджетам муниципальных районов и муниципальных округов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</si>
  <si>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1440175170</t>
  </si>
  <si>
    <t>9.9.</t>
  </si>
  <si>
    <t xml:space="preserve">Расходы на проведение форумов, совещаний, выставок, соревнований и конкурсов в агропромышленном комплексе, а также выплату победителям, участникам выставок, соревнований и конкурсов денежных премий, выдачу призов </t>
  </si>
  <si>
    <t>1440122730</t>
  </si>
  <si>
    <t>240, 350</t>
  </si>
  <si>
    <t>9.9.1.</t>
  </si>
  <si>
    <t>Проведение краевого форума "Пищевая индустрия"</t>
  </si>
  <si>
    <t>9.9.2.</t>
  </si>
  <si>
    <t>Выплата денежных премий по итогам участия в межрегиональных конноспортивных соревнованиях</t>
  </si>
  <si>
    <t>9.9.3.</t>
  </si>
  <si>
    <t>9.9.4.</t>
  </si>
  <si>
    <t>Проведение краевого конкурса "Пахарь года", в том числе выплата денежных премий по итогам конкурса</t>
  </si>
  <si>
    <t>9.9.5.</t>
  </si>
  <si>
    <t>Проведение краевого конкурса операторов машинного доения, в том числе выплата денежных премий по итогам конкурса</t>
  </si>
  <si>
    <t>9.9.6.</t>
  </si>
  <si>
    <t>9.9.7.</t>
  </si>
  <si>
    <t>Проведение краевого конкурса зоотехников-селекционеров, в том числе выплата денежных премий по итогам конкурса</t>
  </si>
  <si>
    <t>9.9.8.</t>
  </si>
  <si>
    <t>Проведение краевого конкурса "Лучший продовольственный товар в Красноярском крае", в том числе выдача призов по итогам конкурса</t>
  </si>
  <si>
    <t>9.9.9.</t>
  </si>
  <si>
    <t>Проведение краевого совещания работников, посвященного Дню работника сельского хозяйства и перерабатывающей промышленности Красноярского края, в том числе выплата денежных премий, выдача призов по итогам трудового соревнования в агропромышленном комплексе</t>
  </si>
  <si>
    <t>Проведение краевой выставки "Сибирская дача"</t>
  </si>
  <si>
    <t>9.10.</t>
  </si>
  <si>
    <t>Расходы на организацию и проведение выставок, краевых конкурсов и совещаний в области торговой деятельности</t>
  </si>
  <si>
    <t>министерство промышленности и торговли Красноярского края</t>
  </si>
  <si>
    <t>382</t>
  </si>
  <si>
    <t>0412</t>
  </si>
  <si>
    <t>1440122750</t>
  </si>
  <si>
    <t>9.11.</t>
  </si>
  <si>
    <t>Расходы на проведение конкурса среди работников средств массовой информации, освещающих деятельность агропромышленного комплекса края и вопросы развития сельских территорий, а также расходы на осуществление информационного и консультационного обеспечения агропромышленного комплекса края</t>
  </si>
  <si>
    <t>1440122740</t>
  </si>
  <si>
    <t>в том чиле:</t>
  </si>
  <si>
    <t>9.11.1.</t>
  </si>
  <si>
    <t>Расходы на проведение конкурса среди работников средств массовой информации, освещающих деятельность агропромышленного комплекса края и вопросы развития сельских территорий</t>
  </si>
  <si>
    <t>9.11.2.</t>
  </si>
  <si>
    <t>Расходы на осуществление информационного и консультационного обеспечения агропромышленного комплекса края</t>
  </si>
  <si>
    <t>9.12.</t>
  </si>
  <si>
    <t>Реализация мероприятий региональной программы "Обеспечение защиты прав потребителей"</t>
  </si>
  <si>
    <t>1440122720</t>
  </si>
  <si>
    <t>9.13.</t>
  </si>
  <si>
    <t>Субсидии на возмещение части затрат, связанных с участием в межрегиональных, российских (всероссийских) конкурсах, чемпионатах, соревнованиях в агропромышленном комплексе</t>
  </si>
  <si>
    <t>1440122770</t>
  </si>
  <si>
    <t>9.14.</t>
  </si>
  <si>
    <t>Выплата единовременного материального вознаграждения лицам, удостоенным наград края (в соответствии с Законом края от 9 декабря 2010 года N 11-5435)</t>
  </si>
  <si>
    <t>1440126530</t>
  </si>
  <si>
    <t>9.15.</t>
  </si>
  <si>
    <t>Итого по процессной части</t>
  </si>
  <si>
    <t>Итого по государственной программе</t>
  </si>
  <si>
    <t>Л.И. Белецкая</t>
  </si>
  <si>
    <t>14301R5017</t>
  </si>
  <si>
    <t>Первый заместитель министра сельского хозяйства Красноярского края</t>
  </si>
  <si>
    <t>Создание системы поддержки фермеров и развитие сельской кооперации (субсидии сельскохозяйственным потребительским кооперативам на возмещение части понесенных в текущем финансовом году затрат)</t>
  </si>
  <si>
    <t>Проведение краевого сельскохозяйственного форума, краевых соревнований сельских конников, в том числе выплата денежных премий и выдача призов по итогам соревнования сельских конников</t>
  </si>
  <si>
    <t>январь-декабрь</t>
  </si>
  <si>
    <t>Расходы по годам реализации государственной программы (тыс. руб.)</t>
  </si>
  <si>
    <t xml:space="preserve">Обеспечение деятельности (оказание услуг) подведомственных учреждений за счет приносящей доход деятельности </t>
  </si>
  <si>
    <t>Ведомственный проект «Комплексное развитие сельских территорий»</t>
  </si>
  <si>
    <t>их формирования и реализации</t>
  </si>
  <si>
    <t>государственных программ Красноярского края,</t>
  </si>
  <si>
    <t>к Порядку принятия решений о разработке</t>
  </si>
  <si>
    <t>к письму министерства сельского хозяйства Красноярского края</t>
  </si>
  <si>
    <t>от_________ № ____________</t>
  </si>
  <si>
    <t>Приложение № 3</t>
  </si>
  <si>
    <t>Приложение № 9</t>
  </si>
  <si>
    <t>Первый заместитель министра сельского хозяйства Красноярского края                                                                                               Л.И. Белецкая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</si>
</sst>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000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/>
    <xf numFmtId="164" fontId="0" fillId="0" borderId="0" xfId="0" applyNumberFormat="1" applyAlignment="1"/>
    <xf numFmtId="164" fontId="2" fillId="0" borderId="0" xfId="0" applyNumberFormat="1" applyFont="1"/>
    <xf numFmtId="0" fontId="2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5" fillId="2" borderId="0" xfId="0" applyFont="1" applyFill="1" applyAlignment="1">
      <alignment vertical="center"/>
    </xf>
    <xf numFmtId="164" fontId="2" fillId="2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49" fontId="2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2" fillId="2" borderId="8" xfId="0" applyFont="1" applyFill="1" applyBorder="1"/>
    <xf numFmtId="164" fontId="1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/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/>
    </xf>
    <xf numFmtId="49" fontId="2" fillId="2" borderId="11" xfId="0" applyNumberFormat="1" applyFont="1" applyFill="1" applyBorder="1"/>
    <xf numFmtId="0" fontId="2" fillId="2" borderId="10" xfId="0" applyFont="1" applyFill="1" applyBorder="1"/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/>
    <xf numFmtId="164" fontId="2" fillId="0" borderId="10" xfId="0" applyNumberFormat="1" applyFont="1" applyBorder="1"/>
    <xf numFmtId="0" fontId="6" fillId="2" borderId="5" xfId="0" applyFont="1" applyFill="1" applyBorder="1" applyAlignment="1">
      <alignment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2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49" fontId="2" fillId="0" borderId="5" xfId="0" applyNumberFormat="1" applyFont="1" applyFill="1" applyBorder="1"/>
    <xf numFmtId="164" fontId="2" fillId="0" borderId="5" xfId="0" applyNumberFormat="1" applyFont="1" applyBorder="1" applyAlignment="1">
      <alignment horizontal="center" vertical="center"/>
    </xf>
    <xf numFmtId="164" fontId="2" fillId="0" borderId="12" xfId="0" applyNumberFormat="1" applyFont="1" applyBorder="1"/>
    <xf numFmtId="164" fontId="2" fillId="0" borderId="6" xfId="0" applyNumberFormat="1" applyFont="1" applyBorder="1"/>
    <xf numFmtId="0" fontId="7" fillId="0" borderId="14" xfId="0" applyFont="1" applyFill="1" applyBorder="1" applyAlignment="1">
      <alignment vertical="center" wrapText="1"/>
    </xf>
    <xf numFmtId="164" fontId="2" fillId="0" borderId="15" xfId="0" applyNumberFormat="1" applyFont="1" applyBorder="1"/>
    <xf numFmtId="164" fontId="2" fillId="0" borderId="16" xfId="0" applyNumberFormat="1" applyFont="1" applyBorder="1" applyAlignment="1">
      <alignment horizontal="center" vertical="center"/>
    </xf>
    <xf numFmtId="164" fontId="2" fillId="0" borderId="4" xfId="0" applyNumberFormat="1" applyFont="1" applyBorder="1"/>
    <xf numFmtId="0" fontId="6" fillId="2" borderId="0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/>
    </xf>
    <xf numFmtId="164" fontId="9" fillId="5" borderId="1" xfId="0" applyNumberFormat="1" applyFont="1" applyFill="1" applyBorder="1" applyAlignment="1">
      <alignment vertical="center"/>
    </xf>
    <xf numFmtId="0" fontId="8" fillId="5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8" fillId="0" borderId="0" xfId="0" applyFont="1"/>
    <xf numFmtId="3" fontId="3" fillId="0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/>
    <xf numFmtId="0" fontId="3" fillId="2" borderId="8" xfId="0" applyFont="1" applyFill="1" applyBorder="1"/>
    <xf numFmtId="164" fontId="6" fillId="2" borderId="8" xfId="0" applyNumberFormat="1" applyFont="1" applyFill="1" applyBorder="1" applyAlignment="1">
      <alignment horizontal="center" vertical="center"/>
    </xf>
    <xf numFmtId="0" fontId="3" fillId="2" borderId="9" xfId="0" applyFont="1" applyFill="1" applyBorder="1"/>
    <xf numFmtId="0" fontId="3" fillId="0" borderId="0" xfId="0" applyFont="1"/>
    <xf numFmtId="164" fontId="8" fillId="0" borderId="0" xfId="0" applyNumberFormat="1" applyFont="1"/>
    <xf numFmtId="0" fontId="3" fillId="0" borderId="0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Fill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left" wrapText="1"/>
    </xf>
    <xf numFmtId="164" fontId="12" fillId="0" borderId="0" xfId="0" applyNumberFormat="1" applyFont="1" applyFill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14" fontId="1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Alignment="1">
      <alignment wrapText="1"/>
    </xf>
    <xf numFmtId="0" fontId="15" fillId="0" borderId="0" xfId="0" applyFont="1" applyFill="1" applyAlignment="1">
      <alignment wrapText="1"/>
    </xf>
    <xf numFmtId="0" fontId="16" fillId="0" borderId="0" xfId="0" applyFont="1" applyFill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wrapText="1"/>
    </xf>
    <xf numFmtId="0" fontId="14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9"/>
  <sheetViews>
    <sheetView view="pageBreakPreview" zoomScaleNormal="100" zoomScaleSheetLayoutView="100" workbookViewId="0">
      <selection sqref="A1:Q166"/>
    </sheetView>
  </sheetViews>
  <sheetFormatPr defaultRowHeight="15" x14ac:dyDescent="0.25"/>
  <cols>
    <col min="1" max="1" width="6" style="1" customWidth="1"/>
    <col min="2" max="2" width="33.28515625" style="1" customWidth="1"/>
    <col min="3" max="3" width="19.7109375" style="1" customWidth="1"/>
    <col min="4" max="4" width="5.5703125" style="1" customWidth="1"/>
    <col min="5" max="5" width="5.28515625" style="1" customWidth="1"/>
    <col min="6" max="6" width="11.5703125" style="1" customWidth="1"/>
    <col min="7" max="7" width="4.7109375" style="1" customWidth="1"/>
    <col min="8" max="8" width="5" style="1" hidden="1" customWidth="1"/>
    <col min="9" max="9" width="14.140625" style="1" customWidth="1"/>
    <col min="10" max="10" width="13.5703125" style="1" customWidth="1"/>
    <col min="11" max="11" width="13" style="3" customWidth="1"/>
    <col min="12" max="12" width="14.5703125" style="3" customWidth="1"/>
    <col min="13" max="13" width="13.140625" style="1" customWidth="1"/>
    <col min="14" max="14" width="12.85546875" style="1" customWidth="1"/>
    <col min="15" max="16" width="12.140625" style="1" customWidth="1"/>
    <col min="17" max="17" width="6.85546875" style="1" customWidth="1"/>
    <col min="18" max="18" width="14.85546875" style="1" customWidth="1"/>
    <col min="19" max="16384" width="9.140625" style="1"/>
  </cols>
  <sheetData>
    <row r="1" spans="1:17" x14ac:dyDescent="0.25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7"/>
      <c r="M1" s="147" t="s">
        <v>366</v>
      </c>
      <c r="N1" s="147"/>
      <c r="O1" s="147"/>
      <c r="P1" s="147"/>
      <c r="Q1" s="105"/>
    </row>
    <row r="2" spans="1:17" ht="15" customHeight="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47" t="s">
        <v>364</v>
      </c>
      <c r="M2" s="147"/>
      <c r="N2" s="147"/>
      <c r="O2" s="147"/>
      <c r="P2" s="147"/>
      <c r="Q2" s="106"/>
    </row>
    <row r="3" spans="1:17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7"/>
      <c r="M3" s="147" t="s">
        <v>365</v>
      </c>
      <c r="N3" s="147"/>
      <c r="O3" s="147"/>
      <c r="P3" s="147"/>
      <c r="Q3" s="106"/>
    </row>
    <row r="4" spans="1:17" x14ac:dyDescent="0.2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48"/>
      <c r="N4" s="148"/>
      <c r="O4" s="148"/>
      <c r="P4" s="148"/>
      <c r="Q4" s="106"/>
    </row>
    <row r="5" spans="1:17" x14ac:dyDescent="0.2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47" t="s">
        <v>367</v>
      </c>
      <c r="N5" s="147"/>
      <c r="O5" s="147"/>
      <c r="P5" s="147"/>
      <c r="Q5" s="106"/>
    </row>
    <row r="6" spans="1:17" x14ac:dyDescent="0.2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47" t="s">
        <v>363</v>
      </c>
      <c r="N6" s="147"/>
      <c r="O6" s="147"/>
      <c r="P6" s="147"/>
      <c r="Q6" s="105"/>
    </row>
    <row r="7" spans="1:17" x14ac:dyDescent="0.25">
      <c r="A7" s="105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47" t="s">
        <v>362</v>
      </c>
      <c r="N7" s="147"/>
      <c r="O7" s="147"/>
      <c r="P7" s="147"/>
      <c r="Q7" s="105"/>
    </row>
    <row r="8" spans="1:17" x14ac:dyDescent="0.25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47" t="s">
        <v>361</v>
      </c>
      <c r="N8" s="147"/>
      <c r="O8" s="147"/>
      <c r="P8" s="147"/>
      <c r="Q8" s="105"/>
    </row>
    <row r="9" spans="1:17" x14ac:dyDescent="0.25">
      <c r="A9" s="105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</row>
    <row r="10" spans="1:17" x14ac:dyDescent="0.25">
      <c r="A10" s="146" t="s">
        <v>0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</row>
    <row r="11" spans="1:17" ht="16.5" customHeight="1" x14ac:dyDescent="0.25">
      <c r="A11" s="168" t="s">
        <v>1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</row>
    <row r="12" spans="1:17" x14ac:dyDescent="0.25">
      <c r="K12" s="2"/>
    </row>
    <row r="13" spans="1:17" ht="32.25" customHeight="1" x14ac:dyDescent="0.25">
      <c r="A13" s="169" t="s">
        <v>2</v>
      </c>
      <c r="B13" s="169" t="s">
        <v>3</v>
      </c>
      <c r="C13" s="169" t="s">
        <v>4</v>
      </c>
      <c r="D13" s="170" t="s">
        <v>5</v>
      </c>
      <c r="E13" s="170"/>
      <c r="F13" s="170"/>
      <c r="G13" s="170"/>
      <c r="H13" s="4"/>
      <c r="I13" s="171" t="s">
        <v>358</v>
      </c>
      <c r="J13" s="171"/>
      <c r="K13" s="171"/>
      <c r="L13" s="171"/>
      <c r="M13" s="171"/>
      <c r="N13" s="171"/>
      <c r="O13" s="171"/>
      <c r="P13" s="171"/>
      <c r="Q13" s="169" t="s">
        <v>6</v>
      </c>
    </row>
    <row r="14" spans="1:17" s="6" customFormat="1" ht="17.25" customHeight="1" x14ac:dyDescent="0.25">
      <c r="A14" s="169"/>
      <c r="B14" s="169"/>
      <c r="C14" s="169"/>
      <c r="D14" s="172" t="s">
        <v>7</v>
      </c>
      <c r="E14" s="172" t="s">
        <v>8</v>
      </c>
      <c r="F14" s="172" t="s">
        <v>9</v>
      </c>
      <c r="G14" s="172" t="s">
        <v>10</v>
      </c>
      <c r="H14" s="5"/>
      <c r="I14" s="169" t="s">
        <v>11</v>
      </c>
      <c r="J14" s="169"/>
      <c r="K14" s="169" t="s">
        <v>12</v>
      </c>
      <c r="L14" s="169"/>
      <c r="M14" s="169"/>
      <c r="N14" s="169"/>
      <c r="O14" s="157" t="s">
        <v>13</v>
      </c>
      <c r="P14" s="157"/>
      <c r="Q14" s="169"/>
    </row>
    <row r="15" spans="1:17" s="6" customFormat="1" ht="18" customHeight="1" x14ac:dyDescent="0.25">
      <c r="A15" s="169"/>
      <c r="B15" s="169"/>
      <c r="C15" s="169"/>
      <c r="D15" s="172"/>
      <c r="E15" s="172"/>
      <c r="F15" s="172"/>
      <c r="G15" s="172"/>
      <c r="H15" s="5"/>
      <c r="I15" s="169"/>
      <c r="J15" s="169"/>
      <c r="K15" s="173" t="s">
        <v>357</v>
      </c>
      <c r="L15" s="173"/>
      <c r="M15" s="169" t="s">
        <v>14</v>
      </c>
      <c r="N15" s="169"/>
      <c r="O15" s="157" t="s">
        <v>15</v>
      </c>
      <c r="P15" s="157" t="s">
        <v>16</v>
      </c>
      <c r="Q15" s="169"/>
    </row>
    <row r="16" spans="1:17" s="6" customFormat="1" ht="17.25" customHeight="1" x14ac:dyDescent="0.25">
      <c r="A16" s="169"/>
      <c r="B16" s="169"/>
      <c r="C16" s="169"/>
      <c r="D16" s="172"/>
      <c r="E16" s="172"/>
      <c r="F16" s="172"/>
      <c r="G16" s="172"/>
      <c r="H16" s="5"/>
      <c r="I16" s="7" t="s">
        <v>17</v>
      </c>
      <c r="J16" s="7" t="s">
        <v>18</v>
      </c>
      <c r="K16" s="95" t="s">
        <v>17</v>
      </c>
      <c r="L16" s="95" t="s">
        <v>18</v>
      </c>
      <c r="M16" s="5" t="s">
        <v>17</v>
      </c>
      <c r="N16" s="5" t="s">
        <v>18</v>
      </c>
      <c r="O16" s="157"/>
      <c r="P16" s="157"/>
      <c r="Q16" s="169"/>
    </row>
    <row r="17" spans="1:18" s="6" customFormat="1" x14ac:dyDescent="0.25">
      <c r="A17" s="5">
        <v>1</v>
      </c>
      <c r="B17" s="5">
        <v>2</v>
      </c>
      <c r="C17" s="5">
        <v>3</v>
      </c>
      <c r="D17" s="9">
        <v>4</v>
      </c>
      <c r="E17" s="9">
        <v>5</v>
      </c>
      <c r="F17" s="9">
        <v>6</v>
      </c>
      <c r="G17" s="9">
        <v>7</v>
      </c>
      <c r="H17" s="5"/>
      <c r="I17" s="7">
        <v>8</v>
      </c>
      <c r="J17" s="7">
        <v>9</v>
      </c>
      <c r="K17" s="87">
        <v>10</v>
      </c>
      <c r="L17" s="87">
        <v>11</v>
      </c>
      <c r="M17" s="87">
        <v>12</v>
      </c>
      <c r="N17" s="87">
        <v>13</v>
      </c>
      <c r="O17" s="87">
        <v>14</v>
      </c>
      <c r="P17" s="87">
        <v>15</v>
      </c>
      <c r="Q17" s="87">
        <v>16</v>
      </c>
    </row>
    <row r="18" spans="1:18" s="10" customFormat="1" ht="21" customHeight="1" x14ac:dyDescent="0.25">
      <c r="B18" s="11" t="s">
        <v>19</v>
      </c>
      <c r="K18" s="12"/>
      <c r="L18" s="12"/>
    </row>
    <row r="19" spans="1:18" s="6" customFormat="1" x14ac:dyDescent="0.25">
      <c r="A19" s="13"/>
      <c r="B19" s="158" t="s">
        <v>20</v>
      </c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60"/>
      <c r="R19" s="14"/>
    </row>
    <row r="20" spans="1:18" s="6" customFormat="1" x14ac:dyDescent="0.25">
      <c r="A20" s="13"/>
      <c r="B20" s="161" t="s">
        <v>21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3"/>
      <c r="R20" s="15"/>
    </row>
    <row r="21" spans="1:18" s="6" customFormat="1" x14ac:dyDescent="0.25">
      <c r="A21" s="13"/>
      <c r="B21" s="164" t="s">
        <v>22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6"/>
      <c r="R21" s="14"/>
    </row>
    <row r="22" spans="1:18" s="6" customFormat="1" x14ac:dyDescent="0.25">
      <c r="A22" s="13"/>
      <c r="B22" s="161" t="s">
        <v>23</v>
      </c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3"/>
      <c r="R22" s="14"/>
    </row>
    <row r="23" spans="1:18" s="6" customFormat="1" x14ac:dyDescent="0.25">
      <c r="A23" s="13"/>
      <c r="B23" s="161" t="s">
        <v>24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3"/>
      <c r="R23" s="14"/>
    </row>
    <row r="24" spans="1:18" s="6" customFormat="1" x14ac:dyDescent="0.25">
      <c r="A24" s="13"/>
      <c r="B24" s="161" t="s">
        <v>25</v>
      </c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3"/>
      <c r="R24" s="14"/>
    </row>
    <row r="25" spans="1:18" s="6" customFormat="1" x14ac:dyDescent="0.25">
      <c r="A25" s="13"/>
      <c r="B25" s="161" t="s">
        <v>26</v>
      </c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3"/>
      <c r="R25" s="14"/>
    </row>
    <row r="26" spans="1:18" s="22" customFormat="1" ht="18.75" customHeight="1" x14ac:dyDescent="0.25">
      <c r="A26" s="16"/>
      <c r="B26" s="17" t="s">
        <v>27</v>
      </c>
      <c r="C26" s="16"/>
      <c r="D26" s="18"/>
      <c r="E26" s="19"/>
      <c r="F26" s="19"/>
      <c r="G26" s="19"/>
      <c r="H26" s="19"/>
      <c r="I26" s="20"/>
      <c r="J26" s="20"/>
      <c r="K26" s="20"/>
      <c r="L26" s="20"/>
      <c r="M26" s="20"/>
      <c r="N26" s="20"/>
      <c r="O26" s="20"/>
      <c r="P26" s="20"/>
      <c r="Q26" s="19"/>
      <c r="R26" s="21"/>
    </row>
    <row r="27" spans="1:18" ht="38.25" customHeight="1" thickBot="1" x14ac:dyDescent="0.3">
      <c r="A27" s="23" t="s">
        <v>28</v>
      </c>
      <c r="B27" s="153" t="s">
        <v>29</v>
      </c>
      <c r="C27" s="154"/>
      <c r="D27" s="24"/>
      <c r="E27" s="24"/>
      <c r="F27" s="24"/>
      <c r="G27" s="25"/>
      <c r="H27" s="25"/>
      <c r="I27" s="26">
        <f>SUM(I28:I32)</f>
        <v>160523.5</v>
      </c>
      <c r="J27" s="26">
        <f>SUM(J28:J32)</f>
        <v>160523.50792</v>
      </c>
      <c r="K27" s="26">
        <f t="shared" ref="K27:P27" si="0">SUM(K28:K31)</f>
        <v>95657.9</v>
      </c>
      <c r="L27" s="26">
        <f t="shared" si="0"/>
        <v>95657.894740000018</v>
      </c>
      <c r="M27" s="26">
        <f t="shared" si="0"/>
        <v>95657.9</v>
      </c>
      <c r="N27" s="26">
        <f t="shared" si="0"/>
        <v>95657.894740000018</v>
      </c>
      <c r="O27" s="26">
        <f>SUM(O28:O31)</f>
        <v>0</v>
      </c>
      <c r="P27" s="26">
        <f t="shared" si="0"/>
        <v>0</v>
      </c>
      <c r="Q27" s="27"/>
      <c r="R27" s="14"/>
    </row>
    <row r="28" spans="1:18" ht="178.5" x14ac:dyDescent="0.25">
      <c r="A28" s="28" t="s">
        <v>30</v>
      </c>
      <c r="B28" s="29" t="s">
        <v>31</v>
      </c>
      <c r="C28" s="5" t="s">
        <v>32</v>
      </c>
      <c r="D28" s="30" t="s">
        <v>33</v>
      </c>
      <c r="E28" s="31" t="s">
        <v>34</v>
      </c>
      <c r="F28" s="32" t="s">
        <v>35</v>
      </c>
      <c r="G28" s="31" t="s">
        <v>36</v>
      </c>
      <c r="H28" s="33"/>
      <c r="I28" s="34">
        <v>67500</v>
      </c>
      <c r="J28" s="34">
        <f>I28</f>
        <v>67500</v>
      </c>
      <c r="K28" s="34">
        <v>53187.4</v>
      </c>
      <c r="L28" s="34">
        <f>2659.37+50528.03</f>
        <v>53187.4</v>
      </c>
      <c r="M28" s="34">
        <f>K28</f>
        <v>53187.4</v>
      </c>
      <c r="N28" s="34">
        <f>L28</f>
        <v>53187.4</v>
      </c>
      <c r="O28" s="34"/>
      <c r="P28" s="34"/>
      <c r="Q28" s="35"/>
      <c r="R28" s="14"/>
    </row>
    <row r="29" spans="1:18" ht="89.25" x14ac:dyDescent="0.25">
      <c r="A29" s="28" t="s">
        <v>37</v>
      </c>
      <c r="B29" s="29" t="s">
        <v>355</v>
      </c>
      <c r="C29" s="5" t="s">
        <v>32</v>
      </c>
      <c r="D29" s="30" t="s">
        <v>33</v>
      </c>
      <c r="E29" s="31" t="s">
        <v>34</v>
      </c>
      <c r="F29" s="32" t="s">
        <v>38</v>
      </c>
      <c r="G29" s="31" t="s">
        <v>39</v>
      </c>
      <c r="H29" s="33"/>
      <c r="I29" s="34">
        <v>53206.8</v>
      </c>
      <c r="J29" s="34">
        <v>53206.762110000003</v>
      </c>
      <c r="K29" s="34">
        <v>38260</v>
      </c>
      <c r="L29" s="34">
        <f>1912.99842+36346.97</f>
        <v>38259.968420000005</v>
      </c>
      <c r="M29" s="34">
        <v>38260</v>
      </c>
      <c r="N29" s="34">
        <f t="shared" ref="N29:N30" si="1">L29</f>
        <v>38259.968420000005</v>
      </c>
      <c r="O29" s="34"/>
      <c r="P29" s="34"/>
      <c r="Q29" s="35"/>
      <c r="R29" s="14"/>
    </row>
    <row r="30" spans="1:18" ht="114.75" x14ac:dyDescent="0.25">
      <c r="A30" s="28" t="s">
        <v>40</v>
      </c>
      <c r="B30" s="29" t="s">
        <v>41</v>
      </c>
      <c r="C30" s="96" t="s">
        <v>32</v>
      </c>
      <c r="D30" s="30" t="s">
        <v>33</v>
      </c>
      <c r="E30" s="31" t="s">
        <v>34</v>
      </c>
      <c r="F30" s="32" t="s">
        <v>42</v>
      </c>
      <c r="G30" s="32" t="s">
        <v>39</v>
      </c>
      <c r="H30" s="33"/>
      <c r="I30" s="34">
        <v>17963.7</v>
      </c>
      <c r="J30" s="34">
        <v>17963.74581</v>
      </c>
      <c r="K30" s="34">
        <v>4210.5</v>
      </c>
      <c r="L30" s="34">
        <f>210.52632+4000</f>
        <v>4210.5263199999999</v>
      </c>
      <c r="M30" s="34">
        <v>4210.5</v>
      </c>
      <c r="N30" s="34">
        <f t="shared" si="1"/>
        <v>4210.5263199999999</v>
      </c>
      <c r="O30" s="34"/>
      <c r="P30" s="34"/>
      <c r="Q30" s="35"/>
      <c r="R30" s="14"/>
    </row>
    <row r="31" spans="1:18" ht="114.75" x14ac:dyDescent="0.25">
      <c r="A31" s="28"/>
      <c r="B31" s="29" t="s">
        <v>41</v>
      </c>
      <c r="C31" s="5" t="s">
        <v>32</v>
      </c>
      <c r="D31" s="30" t="s">
        <v>33</v>
      </c>
      <c r="E31" s="31" t="s">
        <v>34</v>
      </c>
      <c r="F31" s="32" t="s">
        <v>42</v>
      </c>
      <c r="G31" s="32" t="s">
        <v>36</v>
      </c>
      <c r="H31" s="33"/>
      <c r="I31" s="34">
        <v>17963.7</v>
      </c>
      <c r="J31" s="34">
        <v>17963.74581</v>
      </c>
      <c r="K31" s="34"/>
      <c r="L31" s="34"/>
      <c r="M31" s="34"/>
      <c r="N31" s="34"/>
      <c r="O31" s="34"/>
      <c r="P31" s="34"/>
      <c r="Q31" s="35"/>
      <c r="R31" s="14"/>
    </row>
    <row r="32" spans="1:18" ht="76.5" x14ac:dyDescent="0.25">
      <c r="A32" s="28"/>
      <c r="B32" s="36" t="s">
        <v>43</v>
      </c>
      <c r="C32" s="5" t="s">
        <v>32</v>
      </c>
      <c r="D32" s="30" t="s">
        <v>33</v>
      </c>
      <c r="E32" s="31" t="s">
        <v>34</v>
      </c>
      <c r="F32" s="32" t="s">
        <v>44</v>
      </c>
      <c r="G32" s="32" t="s">
        <v>36</v>
      </c>
      <c r="H32" s="37"/>
      <c r="I32" s="38">
        <v>3889.3</v>
      </c>
      <c r="J32" s="38">
        <v>3889.2541900000001</v>
      </c>
      <c r="K32" s="38"/>
      <c r="L32" s="34"/>
      <c r="M32" s="38"/>
      <c r="N32" s="38"/>
      <c r="O32" s="38"/>
      <c r="P32" s="38"/>
      <c r="Q32" s="35"/>
      <c r="R32" s="14"/>
    </row>
    <row r="33" spans="1:18" ht="28.5" customHeight="1" x14ac:dyDescent="0.25">
      <c r="A33" s="28"/>
      <c r="B33" s="153" t="s">
        <v>45</v>
      </c>
      <c r="C33" s="154"/>
      <c r="D33" s="39"/>
      <c r="E33" s="39"/>
      <c r="F33" s="39"/>
      <c r="G33" s="39"/>
      <c r="H33" s="40"/>
      <c r="I33" s="41">
        <f>I34</f>
        <v>51484.6</v>
      </c>
      <c r="J33" s="41">
        <f>J34</f>
        <v>51484.598610000001</v>
      </c>
      <c r="K33" s="42"/>
      <c r="L33" s="42"/>
      <c r="M33" s="42"/>
      <c r="N33" s="42"/>
      <c r="O33" s="42"/>
      <c r="P33" s="42"/>
      <c r="Q33" s="43"/>
      <c r="R33" s="14"/>
    </row>
    <row r="34" spans="1:18" ht="51.75" customHeight="1" x14ac:dyDescent="0.25">
      <c r="A34" s="28"/>
      <c r="B34" s="36" t="s">
        <v>46</v>
      </c>
      <c r="C34" s="5" t="s">
        <v>32</v>
      </c>
      <c r="D34" s="30" t="s">
        <v>33</v>
      </c>
      <c r="E34" s="31" t="s">
        <v>34</v>
      </c>
      <c r="F34" s="32" t="s">
        <v>47</v>
      </c>
      <c r="G34" s="32" t="s">
        <v>36</v>
      </c>
      <c r="H34" s="37"/>
      <c r="I34" s="38">
        <v>51484.6</v>
      </c>
      <c r="J34" s="38">
        <v>51484.598610000001</v>
      </c>
      <c r="K34" s="38"/>
      <c r="L34" s="38"/>
      <c r="M34" s="38"/>
      <c r="N34" s="38"/>
      <c r="O34" s="38"/>
      <c r="P34" s="38"/>
      <c r="Q34" s="35"/>
      <c r="R34" s="14"/>
    </row>
    <row r="35" spans="1:18" ht="45.75" customHeight="1" x14ac:dyDescent="0.25">
      <c r="A35" s="28" t="s">
        <v>48</v>
      </c>
      <c r="B35" s="153" t="s">
        <v>49</v>
      </c>
      <c r="C35" s="154"/>
      <c r="D35" s="24"/>
      <c r="E35" s="24"/>
      <c r="F35" s="24"/>
      <c r="G35" s="44"/>
      <c r="H35" s="45"/>
      <c r="I35" s="41">
        <f t="shared" ref="I35:P35" si="2">SUM(I36:I56)</f>
        <v>4660161.7999999989</v>
      </c>
      <c r="J35" s="41">
        <f t="shared" si="2"/>
        <v>4931797.6660599988</v>
      </c>
      <c r="K35" s="41">
        <f t="shared" si="2"/>
        <v>4740018.2</v>
      </c>
      <c r="L35" s="41">
        <f t="shared" si="2"/>
        <v>4749537.7288820008</v>
      </c>
      <c r="M35" s="41">
        <f t="shared" si="2"/>
        <v>4740018.2</v>
      </c>
      <c r="N35" s="41">
        <f t="shared" si="2"/>
        <v>4749537.7288820008</v>
      </c>
      <c r="O35" s="41">
        <f t="shared" si="2"/>
        <v>3539708.4</v>
      </c>
      <c r="P35" s="41">
        <f t="shared" si="2"/>
        <v>3734874.4999999991</v>
      </c>
      <c r="Q35" s="46"/>
      <c r="R35" s="14"/>
    </row>
    <row r="36" spans="1:18" ht="114.75" x14ac:dyDescent="0.25">
      <c r="A36" s="28" t="s">
        <v>50</v>
      </c>
      <c r="B36" s="29" t="s">
        <v>51</v>
      </c>
      <c r="C36" s="28" t="s">
        <v>32</v>
      </c>
      <c r="D36" s="30" t="s">
        <v>33</v>
      </c>
      <c r="E36" s="31" t="s">
        <v>34</v>
      </c>
      <c r="F36" s="30" t="s">
        <v>52</v>
      </c>
      <c r="G36" s="31" t="s">
        <v>36</v>
      </c>
      <c r="H36" s="33"/>
      <c r="I36" s="34">
        <v>124323.2</v>
      </c>
      <c r="J36" s="34">
        <v>124323.23604</v>
      </c>
      <c r="K36" s="34">
        <v>117686.6</v>
      </c>
      <c r="L36" s="34">
        <f>34129.11972+83557.5</f>
        <v>117686.61972</v>
      </c>
      <c r="M36" s="34">
        <f>K36</f>
        <v>117686.6</v>
      </c>
      <c r="N36" s="34">
        <f t="shared" ref="N36:N56" si="3">L36</f>
        <v>117686.61972</v>
      </c>
      <c r="O36" s="34">
        <v>121876.1</v>
      </c>
      <c r="P36" s="34">
        <v>141089.20000000001</v>
      </c>
      <c r="Q36" s="35"/>
      <c r="R36" s="14"/>
    </row>
    <row r="37" spans="1:18" ht="76.5" x14ac:dyDescent="0.25">
      <c r="A37" s="28" t="s">
        <v>53</v>
      </c>
      <c r="B37" s="29" t="s">
        <v>54</v>
      </c>
      <c r="C37" s="28" t="s">
        <v>32</v>
      </c>
      <c r="D37" s="30" t="s">
        <v>33</v>
      </c>
      <c r="E37" s="31" t="s">
        <v>34</v>
      </c>
      <c r="F37" s="30" t="s">
        <v>55</v>
      </c>
      <c r="G37" s="31" t="s">
        <v>36</v>
      </c>
      <c r="H37" s="33"/>
      <c r="I37" s="34">
        <v>118054.1</v>
      </c>
      <c r="J37" s="34">
        <v>118053.88206</v>
      </c>
      <c r="K37" s="34">
        <v>140758</v>
      </c>
      <c r="L37" s="34">
        <f>40819.82817+99938.2</f>
        <v>140758.02817000001</v>
      </c>
      <c r="M37" s="34">
        <f t="shared" ref="M37:M56" si="4">K37</f>
        <v>140758</v>
      </c>
      <c r="N37" s="34">
        <f t="shared" si="3"/>
        <v>140758.02817000001</v>
      </c>
      <c r="O37" s="34">
        <v>145768.70000000001</v>
      </c>
      <c r="P37" s="34">
        <v>168748.5</v>
      </c>
      <c r="Q37" s="35"/>
      <c r="R37" s="14"/>
    </row>
    <row r="38" spans="1:18" ht="76.5" x14ac:dyDescent="0.25">
      <c r="A38" s="28" t="s">
        <v>56</v>
      </c>
      <c r="B38" s="29" t="s">
        <v>57</v>
      </c>
      <c r="C38" s="28" t="s">
        <v>32</v>
      </c>
      <c r="D38" s="30" t="s">
        <v>33</v>
      </c>
      <c r="E38" s="31" t="s">
        <v>34</v>
      </c>
      <c r="F38" s="30" t="s">
        <v>58</v>
      </c>
      <c r="G38" s="31" t="s">
        <v>36</v>
      </c>
      <c r="H38" s="33"/>
      <c r="I38" s="34">
        <v>49024.6</v>
      </c>
      <c r="J38" s="34">
        <v>58131.830979999999</v>
      </c>
      <c r="K38" s="34">
        <v>83814.5</v>
      </c>
      <c r="L38" s="34">
        <f>24306.20705+59508.3</f>
        <v>83814.50705</v>
      </c>
      <c r="M38" s="34">
        <f t="shared" si="4"/>
        <v>83814.5</v>
      </c>
      <c r="N38" s="34">
        <f t="shared" si="3"/>
        <v>83814.50705</v>
      </c>
      <c r="O38" s="34">
        <v>53526.2</v>
      </c>
      <c r="P38" s="34">
        <v>61964.4</v>
      </c>
      <c r="Q38" s="35"/>
      <c r="R38" s="14"/>
    </row>
    <row r="39" spans="1:18" ht="191.25" x14ac:dyDescent="0.25">
      <c r="A39" s="28" t="s">
        <v>59</v>
      </c>
      <c r="B39" s="29" t="s">
        <v>60</v>
      </c>
      <c r="C39" s="28" t="s">
        <v>32</v>
      </c>
      <c r="D39" s="30" t="s">
        <v>33</v>
      </c>
      <c r="E39" s="31" t="s">
        <v>34</v>
      </c>
      <c r="F39" s="30" t="s">
        <v>61</v>
      </c>
      <c r="G39" s="31" t="s">
        <v>36</v>
      </c>
      <c r="H39" s="33"/>
      <c r="I39" s="34">
        <v>190833.1</v>
      </c>
      <c r="J39" s="34">
        <v>190833.09859000001</v>
      </c>
      <c r="K39" s="34">
        <v>66693.399999999994</v>
      </c>
      <c r="L39" s="34">
        <f>19341.08866+47352.32055</f>
        <v>66693.409209999998</v>
      </c>
      <c r="M39" s="34">
        <f t="shared" si="4"/>
        <v>66693.399999999994</v>
      </c>
      <c r="N39" s="34">
        <f t="shared" si="3"/>
        <v>66693.409209999998</v>
      </c>
      <c r="O39" s="34">
        <v>63894.8</v>
      </c>
      <c r="P39" s="34">
        <v>73967.5</v>
      </c>
      <c r="Q39" s="35"/>
      <c r="R39" s="14"/>
    </row>
    <row r="40" spans="1:18" ht="76.5" x14ac:dyDescent="0.25">
      <c r="A40" s="28" t="s">
        <v>62</v>
      </c>
      <c r="B40" s="29" t="s">
        <v>63</v>
      </c>
      <c r="C40" s="28" t="s">
        <v>32</v>
      </c>
      <c r="D40" s="30" t="s">
        <v>33</v>
      </c>
      <c r="E40" s="30" t="s">
        <v>34</v>
      </c>
      <c r="F40" s="30" t="s">
        <v>64</v>
      </c>
      <c r="G40" s="32" t="s">
        <v>36</v>
      </c>
      <c r="H40" s="33"/>
      <c r="I40" s="34">
        <v>433427.20000000001</v>
      </c>
      <c r="J40" s="34">
        <v>433427.17787999997</v>
      </c>
      <c r="K40" s="34">
        <v>329535.5</v>
      </c>
      <c r="L40" s="34">
        <f>95565.29295+233970.19997</f>
        <v>329535.49291999999</v>
      </c>
      <c r="M40" s="34">
        <f t="shared" si="4"/>
        <v>329535.5</v>
      </c>
      <c r="N40" s="34">
        <f t="shared" si="3"/>
        <v>329535.49291999999</v>
      </c>
      <c r="O40" s="34">
        <v>339087.1</v>
      </c>
      <c r="P40" s="34">
        <v>392542.7</v>
      </c>
      <c r="Q40" s="35"/>
      <c r="R40" s="14"/>
    </row>
    <row r="41" spans="1:18" ht="76.5" x14ac:dyDescent="0.25">
      <c r="A41" s="28" t="s">
        <v>65</v>
      </c>
      <c r="B41" s="29" t="s">
        <v>66</v>
      </c>
      <c r="C41" s="28" t="s">
        <v>32</v>
      </c>
      <c r="D41" s="30" t="s">
        <v>33</v>
      </c>
      <c r="E41" s="30" t="s">
        <v>34</v>
      </c>
      <c r="F41" s="30" t="s">
        <v>353</v>
      </c>
      <c r="G41" s="32" t="s">
        <v>36</v>
      </c>
      <c r="H41" s="47"/>
      <c r="I41" s="34">
        <v>88246.5</v>
      </c>
      <c r="J41" s="34">
        <v>88246.478870000006</v>
      </c>
      <c r="K41" s="34">
        <v>32403.7</v>
      </c>
      <c r="L41" s="34">
        <f>9397.05358+23006.57945</f>
        <v>32403.633030000001</v>
      </c>
      <c r="M41" s="34">
        <f t="shared" si="4"/>
        <v>32403.7</v>
      </c>
      <c r="N41" s="34">
        <f t="shared" si="3"/>
        <v>32403.633030000001</v>
      </c>
      <c r="O41" s="34">
        <v>72649.600000000006</v>
      </c>
      <c r="P41" s="34">
        <v>91984.6</v>
      </c>
      <c r="Q41" s="47"/>
      <c r="R41" s="14"/>
    </row>
    <row r="42" spans="1:18" ht="89.25" x14ac:dyDescent="0.25">
      <c r="A42" s="28" t="s">
        <v>67</v>
      </c>
      <c r="B42" s="29" t="s">
        <v>68</v>
      </c>
      <c r="C42" s="28" t="s">
        <v>32</v>
      </c>
      <c r="D42" s="30" t="s">
        <v>33</v>
      </c>
      <c r="E42" s="30" t="s">
        <v>34</v>
      </c>
      <c r="F42" s="30" t="s">
        <v>69</v>
      </c>
      <c r="G42" s="32" t="s">
        <v>39</v>
      </c>
      <c r="H42" s="33"/>
      <c r="I42" s="34">
        <v>50000</v>
      </c>
      <c r="J42" s="34">
        <v>50000</v>
      </c>
      <c r="K42" s="34">
        <v>50000</v>
      </c>
      <c r="L42" s="34">
        <f>14256.95042+34904.94758</f>
        <v>49161.898000000001</v>
      </c>
      <c r="M42" s="34">
        <f t="shared" si="4"/>
        <v>50000</v>
      </c>
      <c r="N42" s="34">
        <f t="shared" si="3"/>
        <v>49161.898000000001</v>
      </c>
      <c r="O42" s="38">
        <v>50000</v>
      </c>
      <c r="P42" s="38">
        <v>50000</v>
      </c>
      <c r="Q42" s="35"/>
      <c r="R42" s="14"/>
    </row>
    <row r="43" spans="1:18" ht="51" x14ac:dyDescent="0.25">
      <c r="A43" s="28" t="s">
        <v>70</v>
      </c>
      <c r="B43" s="29" t="s">
        <v>71</v>
      </c>
      <c r="C43" s="28" t="s">
        <v>32</v>
      </c>
      <c r="D43" s="30" t="s">
        <v>33</v>
      </c>
      <c r="E43" s="30" t="s">
        <v>34</v>
      </c>
      <c r="F43" s="30" t="s">
        <v>72</v>
      </c>
      <c r="G43" s="32" t="s">
        <v>36</v>
      </c>
      <c r="H43" s="33"/>
      <c r="I43" s="34">
        <v>441303.8</v>
      </c>
      <c r="J43" s="34">
        <f>441303.80431+318510.405</f>
        <v>759814.20931000006</v>
      </c>
      <c r="K43" s="34">
        <v>235163.9</v>
      </c>
      <c r="L43" s="34">
        <f>68197.5+166966.4</f>
        <v>235163.9</v>
      </c>
      <c r="M43" s="34">
        <f t="shared" si="4"/>
        <v>235163.9</v>
      </c>
      <c r="N43" s="34">
        <f t="shared" si="3"/>
        <v>235163.9</v>
      </c>
      <c r="O43" s="38">
        <v>234400.1</v>
      </c>
      <c r="P43" s="38">
        <v>274129</v>
      </c>
      <c r="Q43" s="35"/>
      <c r="R43" s="14"/>
    </row>
    <row r="44" spans="1:18" ht="102" x14ac:dyDescent="0.25">
      <c r="A44" s="28" t="s">
        <v>73</v>
      </c>
      <c r="B44" s="29" t="s">
        <v>74</v>
      </c>
      <c r="C44" s="28" t="s">
        <v>32</v>
      </c>
      <c r="D44" s="30" t="s">
        <v>33</v>
      </c>
      <c r="E44" s="30" t="s">
        <v>34</v>
      </c>
      <c r="F44" s="30" t="s">
        <v>75</v>
      </c>
      <c r="G44" s="32" t="s">
        <v>36</v>
      </c>
      <c r="H44" s="33"/>
      <c r="I44" s="34"/>
      <c r="J44" s="34"/>
      <c r="K44" s="34">
        <v>52309.7</v>
      </c>
      <c r="L44" s="34">
        <f>15169.81831+37139.9</f>
        <v>52309.718310000004</v>
      </c>
      <c r="M44" s="34">
        <f t="shared" si="4"/>
        <v>52309.7</v>
      </c>
      <c r="N44" s="34">
        <f t="shared" si="3"/>
        <v>52309.718310000004</v>
      </c>
      <c r="O44" s="34">
        <v>53825.9</v>
      </c>
      <c r="P44" s="34">
        <v>62311.4</v>
      </c>
      <c r="Q44" s="35"/>
      <c r="R44" s="14"/>
    </row>
    <row r="45" spans="1:18" ht="45" x14ac:dyDescent="0.25">
      <c r="A45" s="47" t="s">
        <v>76</v>
      </c>
      <c r="B45" s="29" t="s">
        <v>77</v>
      </c>
      <c r="C45" s="28" t="s">
        <v>32</v>
      </c>
      <c r="D45" s="30" t="s">
        <v>33</v>
      </c>
      <c r="E45" s="30" t="s">
        <v>34</v>
      </c>
      <c r="F45" s="30" t="s">
        <v>78</v>
      </c>
      <c r="G45" s="32" t="s">
        <v>36</v>
      </c>
      <c r="H45" s="47"/>
      <c r="I45" s="34">
        <v>628966.80000000005</v>
      </c>
      <c r="J45" s="34">
        <v>628966.79882999999</v>
      </c>
      <c r="K45" s="34">
        <v>539615.6</v>
      </c>
      <c r="L45" s="34">
        <v>539615.57999999996</v>
      </c>
      <c r="M45" s="34">
        <f t="shared" si="4"/>
        <v>539615.6</v>
      </c>
      <c r="N45" s="34">
        <f t="shared" si="3"/>
        <v>539615.57999999996</v>
      </c>
      <c r="O45" s="34">
        <v>539615.6</v>
      </c>
      <c r="P45" s="34">
        <v>542414.30000000005</v>
      </c>
      <c r="Q45" s="47"/>
      <c r="R45" s="14"/>
    </row>
    <row r="46" spans="1:18" ht="51" x14ac:dyDescent="0.25">
      <c r="A46" s="47" t="s">
        <v>79</v>
      </c>
      <c r="B46" s="29" t="s">
        <v>80</v>
      </c>
      <c r="C46" s="28" t="s">
        <v>32</v>
      </c>
      <c r="D46" s="30" t="s">
        <v>33</v>
      </c>
      <c r="E46" s="30" t="s">
        <v>34</v>
      </c>
      <c r="F46" s="30" t="s">
        <v>81</v>
      </c>
      <c r="G46" s="32" t="s">
        <v>36</v>
      </c>
      <c r="H46" s="47"/>
      <c r="I46" s="34">
        <v>1410120.1</v>
      </c>
      <c r="J46" s="34">
        <v>1410118.7811199999</v>
      </c>
      <c r="K46" s="34">
        <v>1029476.6</v>
      </c>
      <c r="L46" s="34">
        <v>1029328.57915</v>
      </c>
      <c r="M46" s="34">
        <f t="shared" si="4"/>
        <v>1029476.6</v>
      </c>
      <c r="N46" s="34">
        <f t="shared" si="3"/>
        <v>1029328.57915</v>
      </c>
      <c r="O46" s="34">
        <v>1029476.6</v>
      </c>
      <c r="P46" s="34">
        <v>1029476.6</v>
      </c>
      <c r="Q46" s="47"/>
      <c r="R46" s="14"/>
    </row>
    <row r="47" spans="1:18" ht="63.75" x14ac:dyDescent="0.25">
      <c r="A47" s="47" t="s">
        <v>82</v>
      </c>
      <c r="B47" s="29" t="s">
        <v>83</v>
      </c>
      <c r="C47" s="28" t="s">
        <v>32</v>
      </c>
      <c r="D47" s="30" t="s">
        <v>33</v>
      </c>
      <c r="E47" s="30" t="s">
        <v>34</v>
      </c>
      <c r="F47" s="30" t="s">
        <v>84</v>
      </c>
      <c r="G47" s="28" t="s">
        <v>85</v>
      </c>
      <c r="H47" s="47"/>
      <c r="I47" s="34">
        <v>330836.40000000002</v>
      </c>
      <c r="J47" s="34">
        <v>275570.32767999999</v>
      </c>
      <c r="K47" s="34">
        <v>385736.3</v>
      </c>
      <c r="L47" s="34">
        <v>385185.78047</v>
      </c>
      <c r="M47" s="34">
        <f t="shared" si="4"/>
        <v>385736.3</v>
      </c>
      <c r="N47" s="34">
        <f t="shared" si="3"/>
        <v>385185.78047</v>
      </c>
      <c r="O47" s="34">
        <v>203912.9</v>
      </c>
      <c r="P47" s="34">
        <v>214606.8</v>
      </c>
      <c r="Q47" s="47"/>
      <c r="R47" s="14"/>
    </row>
    <row r="48" spans="1:18" ht="89.25" x14ac:dyDescent="0.25">
      <c r="A48" s="47" t="s">
        <v>86</v>
      </c>
      <c r="B48" s="29" t="s">
        <v>87</v>
      </c>
      <c r="C48" s="28" t="s">
        <v>32</v>
      </c>
      <c r="D48" s="30" t="s">
        <v>33</v>
      </c>
      <c r="E48" s="30" t="s">
        <v>34</v>
      </c>
      <c r="F48" s="30" t="s">
        <v>88</v>
      </c>
      <c r="G48" s="49">
        <v>610</v>
      </c>
      <c r="H48" s="47"/>
      <c r="I48" s="34">
        <v>75000</v>
      </c>
      <c r="J48" s="34">
        <v>75000</v>
      </c>
      <c r="K48" s="34">
        <v>75000</v>
      </c>
      <c r="L48" s="34">
        <f t="shared" ref="L48" si="5">K48</f>
        <v>75000</v>
      </c>
      <c r="M48" s="34">
        <f t="shared" si="4"/>
        <v>75000</v>
      </c>
      <c r="N48" s="34">
        <f t="shared" si="3"/>
        <v>75000</v>
      </c>
      <c r="O48" s="34">
        <v>75000</v>
      </c>
      <c r="P48" s="34">
        <v>75000</v>
      </c>
      <c r="Q48" s="47"/>
      <c r="R48" s="14"/>
    </row>
    <row r="49" spans="1:18" ht="127.5" x14ac:dyDescent="0.25">
      <c r="A49" s="28" t="s">
        <v>89</v>
      </c>
      <c r="B49" s="29" t="s">
        <v>90</v>
      </c>
      <c r="C49" s="28" t="s">
        <v>32</v>
      </c>
      <c r="D49" s="30" t="s">
        <v>33</v>
      </c>
      <c r="E49" s="30" t="s">
        <v>34</v>
      </c>
      <c r="F49" s="30" t="s">
        <v>91</v>
      </c>
      <c r="G49" s="31" t="s">
        <v>92</v>
      </c>
      <c r="H49" s="33"/>
      <c r="I49" s="34">
        <v>47616.3</v>
      </c>
      <c r="J49" s="34">
        <v>47586.495750000002</v>
      </c>
      <c r="K49" s="34">
        <v>45122.7</v>
      </c>
      <c r="L49" s="34">
        <v>45122.711900000002</v>
      </c>
      <c r="M49" s="34">
        <f t="shared" si="4"/>
        <v>45122.7</v>
      </c>
      <c r="N49" s="34">
        <f t="shared" si="3"/>
        <v>45122.711900000002</v>
      </c>
      <c r="O49" s="34">
        <v>50000</v>
      </c>
      <c r="P49" s="34">
        <v>50000</v>
      </c>
      <c r="Q49" s="50"/>
      <c r="R49" s="14"/>
    </row>
    <row r="50" spans="1:18" ht="63.75" x14ac:dyDescent="0.25">
      <c r="A50" s="28" t="s">
        <v>93</v>
      </c>
      <c r="B50" s="29" t="s">
        <v>94</v>
      </c>
      <c r="C50" s="28" t="s">
        <v>32</v>
      </c>
      <c r="D50" s="30" t="s">
        <v>33</v>
      </c>
      <c r="E50" s="30" t="s">
        <v>34</v>
      </c>
      <c r="F50" s="30" t="s">
        <v>95</v>
      </c>
      <c r="G50" s="31" t="s">
        <v>36</v>
      </c>
      <c r="H50" s="33"/>
      <c r="I50" s="51">
        <v>358451.6</v>
      </c>
      <c r="J50" s="34">
        <v>358451.58129</v>
      </c>
      <c r="K50" s="34">
        <v>435999.8</v>
      </c>
      <c r="L50" s="34">
        <v>435999.77782000002</v>
      </c>
      <c r="M50" s="34">
        <f t="shared" si="4"/>
        <v>435999.8</v>
      </c>
      <c r="N50" s="34">
        <f t="shared" si="3"/>
        <v>435999.77782000002</v>
      </c>
      <c r="O50" s="34">
        <v>221349.3</v>
      </c>
      <c r="P50" s="34">
        <v>221349.3</v>
      </c>
      <c r="Q50" s="35"/>
      <c r="R50" s="14"/>
    </row>
    <row r="51" spans="1:18" ht="45" x14ac:dyDescent="0.25">
      <c r="A51" s="28" t="s">
        <v>96</v>
      </c>
      <c r="B51" s="29" t="s">
        <v>97</v>
      </c>
      <c r="C51" s="28" t="s">
        <v>32</v>
      </c>
      <c r="D51" s="30" t="s">
        <v>33</v>
      </c>
      <c r="E51" s="30" t="s">
        <v>34</v>
      </c>
      <c r="F51" s="30" t="s">
        <v>98</v>
      </c>
      <c r="G51" s="31" t="s">
        <v>36</v>
      </c>
      <c r="H51" s="33"/>
      <c r="I51" s="51">
        <v>23018.1</v>
      </c>
      <c r="J51" s="34">
        <v>22886.581699999999</v>
      </c>
      <c r="K51" s="34">
        <v>2634.2</v>
      </c>
      <c r="L51" s="34">
        <v>2385.50155</v>
      </c>
      <c r="M51" s="34">
        <f t="shared" si="4"/>
        <v>2634.2</v>
      </c>
      <c r="N51" s="34">
        <f t="shared" si="3"/>
        <v>2385.50155</v>
      </c>
      <c r="O51" s="34"/>
      <c r="P51" s="34"/>
      <c r="Q51" s="35"/>
      <c r="R51" s="14"/>
    </row>
    <row r="52" spans="1:18" ht="45" x14ac:dyDescent="0.25">
      <c r="A52" s="28" t="s">
        <v>99</v>
      </c>
      <c r="B52" s="29" t="s">
        <v>100</v>
      </c>
      <c r="C52" s="28" t="s">
        <v>32</v>
      </c>
      <c r="D52" s="30" t="s">
        <v>33</v>
      </c>
      <c r="E52" s="30" t="s">
        <v>34</v>
      </c>
      <c r="F52" s="30" t="s">
        <v>101</v>
      </c>
      <c r="G52" s="31" t="s">
        <v>36</v>
      </c>
      <c r="H52" s="33"/>
      <c r="I52" s="51">
        <v>59347.1</v>
      </c>
      <c r="J52" s="34">
        <v>59347.050759999998</v>
      </c>
      <c r="K52" s="34">
        <v>54572.7</v>
      </c>
      <c r="L52" s="34">
        <v>50395.3871</v>
      </c>
      <c r="M52" s="34">
        <f t="shared" si="4"/>
        <v>54572.7</v>
      </c>
      <c r="N52" s="34">
        <f t="shared" si="3"/>
        <v>50395.3871</v>
      </c>
      <c r="O52" s="34">
        <v>69898.600000000006</v>
      </c>
      <c r="P52" s="34">
        <v>69863.3</v>
      </c>
      <c r="Q52" s="35"/>
      <c r="R52" s="14"/>
    </row>
    <row r="53" spans="1:18" ht="209.25" customHeight="1" x14ac:dyDescent="0.25">
      <c r="A53" s="28" t="s">
        <v>102</v>
      </c>
      <c r="B53" s="29" t="s">
        <v>103</v>
      </c>
      <c r="C53" s="28" t="s">
        <v>32</v>
      </c>
      <c r="D53" s="30" t="s">
        <v>33</v>
      </c>
      <c r="E53" s="30" t="s">
        <v>34</v>
      </c>
      <c r="F53" s="30" t="s">
        <v>104</v>
      </c>
      <c r="G53" s="31" t="s">
        <v>39</v>
      </c>
      <c r="H53" s="33"/>
      <c r="I53" s="34">
        <v>16207.2</v>
      </c>
      <c r="J53" s="34">
        <v>16207.237800000001</v>
      </c>
      <c r="K53" s="34">
        <v>2419.5</v>
      </c>
      <c r="L53" s="34">
        <v>2419.5416700000001</v>
      </c>
      <c r="M53" s="34">
        <f t="shared" si="4"/>
        <v>2419.5</v>
      </c>
      <c r="N53" s="34">
        <f t="shared" si="3"/>
        <v>2419.5416700000001</v>
      </c>
      <c r="O53" s="34">
        <v>56300</v>
      </c>
      <c r="P53" s="34">
        <v>56300</v>
      </c>
      <c r="Q53" s="35"/>
      <c r="R53" s="14"/>
    </row>
    <row r="54" spans="1:18" ht="134.25" customHeight="1" x14ac:dyDescent="0.25">
      <c r="A54" s="28" t="s">
        <v>105</v>
      </c>
      <c r="B54" s="29" t="s">
        <v>106</v>
      </c>
      <c r="C54" s="28" t="s">
        <v>32</v>
      </c>
      <c r="D54" s="30" t="s">
        <v>33</v>
      </c>
      <c r="E54" s="30" t="s">
        <v>34</v>
      </c>
      <c r="F54" s="30" t="s">
        <v>107</v>
      </c>
      <c r="G54" s="31" t="s">
        <v>39</v>
      </c>
      <c r="H54" s="33"/>
      <c r="I54" s="34">
        <v>126258.8</v>
      </c>
      <c r="J54" s="34">
        <v>126258.7974</v>
      </c>
      <c r="K54" s="34">
        <v>62064.7</v>
      </c>
      <c r="L54" s="34">
        <v>62064.700001999998</v>
      </c>
      <c r="M54" s="34">
        <f t="shared" si="4"/>
        <v>62064.7</v>
      </c>
      <c r="N54" s="34">
        <f t="shared" si="3"/>
        <v>62064.700001999998</v>
      </c>
      <c r="O54" s="34">
        <v>70000</v>
      </c>
      <c r="P54" s="34">
        <v>70000</v>
      </c>
      <c r="Q54" s="52"/>
      <c r="R54" s="14"/>
    </row>
    <row r="55" spans="1:18" ht="67.5" customHeight="1" x14ac:dyDescent="0.25">
      <c r="A55" s="28" t="s">
        <v>108</v>
      </c>
      <c r="B55" s="29" t="s">
        <v>109</v>
      </c>
      <c r="C55" s="28" t="s">
        <v>287</v>
      </c>
      <c r="D55" s="30" t="s">
        <v>111</v>
      </c>
      <c r="E55" s="30" t="s">
        <v>34</v>
      </c>
      <c r="F55" s="30" t="s">
        <v>112</v>
      </c>
      <c r="G55" s="31" t="s">
        <v>92</v>
      </c>
      <c r="H55" s="53"/>
      <c r="I55" s="34">
        <v>89126.9</v>
      </c>
      <c r="J55" s="34">
        <v>88574.1</v>
      </c>
      <c r="K55" s="34">
        <v>89126.9</v>
      </c>
      <c r="L55" s="51">
        <v>89119.184349999996</v>
      </c>
      <c r="M55" s="34">
        <f t="shared" si="4"/>
        <v>89126.9</v>
      </c>
      <c r="N55" s="34">
        <f t="shared" si="3"/>
        <v>89119.184349999996</v>
      </c>
      <c r="O55" s="34">
        <v>89126.9</v>
      </c>
      <c r="P55" s="34">
        <v>89126.9</v>
      </c>
      <c r="Q55" s="54"/>
      <c r="R55" s="14"/>
    </row>
    <row r="56" spans="1:18" ht="176.25" customHeight="1" x14ac:dyDescent="0.25">
      <c r="A56" s="28" t="s">
        <v>113</v>
      </c>
      <c r="B56" s="29" t="s">
        <v>114</v>
      </c>
      <c r="C56" s="28" t="s">
        <v>32</v>
      </c>
      <c r="D56" s="30" t="s">
        <v>33</v>
      </c>
      <c r="E56" s="30" t="s">
        <v>34</v>
      </c>
      <c r="F56" s="30" t="s">
        <v>115</v>
      </c>
      <c r="G56" s="31" t="s">
        <v>36</v>
      </c>
      <c r="H56" s="53"/>
      <c r="I56" s="34"/>
      <c r="J56" s="34"/>
      <c r="K56" s="34">
        <v>909883.9</v>
      </c>
      <c r="L56" s="34">
        <v>925373.77845999994</v>
      </c>
      <c r="M56" s="34">
        <f t="shared" si="4"/>
        <v>909883.9</v>
      </c>
      <c r="N56" s="34">
        <f t="shared" si="3"/>
        <v>925373.77845999994</v>
      </c>
      <c r="O56" s="34"/>
      <c r="P56" s="34"/>
      <c r="Q56" s="48"/>
      <c r="R56" s="14"/>
    </row>
    <row r="57" spans="1:18" s="92" customFormat="1" ht="31.5" customHeight="1" thickBot="1" x14ac:dyDescent="0.3">
      <c r="A57" s="55" t="s">
        <v>116</v>
      </c>
      <c r="B57" s="167" t="s">
        <v>117</v>
      </c>
      <c r="C57" s="156"/>
      <c r="D57" s="55"/>
      <c r="E57" s="55"/>
      <c r="F57" s="55"/>
      <c r="G57" s="88"/>
      <c r="H57" s="89"/>
      <c r="I57" s="90">
        <f>SUM(I58:I62)</f>
        <v>92145.4</v>
      </c>
      <c r="J57" s="90">
        <f t="shared" ref="J57:P57" si="6">SUM(J58:J62)</f>
        <v>92145.169480000011</v>
      </c>
      <c r="K57" s="90">
        <f t="shared" si="6"/>
        <v>51082.6</v>
      </c>
      <c r="L57" s="90">
        <f t="shared" si="6"/>
        <v>43173.365239999999</v>
      </c>
      <c r="M57" s="90">
        <f t="shared" si="6"/>
        <v>51082.6</v>
      </c>
      <c r="N57" s="90">
        <f t="shared" si="6"/>
        <v>43173.365239999999</v>
      </c>
      <c r="O57" s="90">
        <f t="shared" si="6"/>
        <v>43154.1</v>
      </c>
      <c r="P57" s="90">
        <f t="shared" si="6"/>
        <v>50514.8</v>
      </c>
      <c r="Q57" s="91"/>
      <c r="R57" s="14"/>
    </row>
    <row r="58" spans="1:18" ht="89.25" x14ac:dyDescent="0.25">
      <c r="A58" s="28" t="s">
        <v>118</v>
      </c>
      <c r="B58" s="29" t="s">
        <v>119</v>
      </c>
      <c r="C58" s="28" t="s">
        <v>32</v>
      </c>
      <c r="D58" s="56" t="s">
        <v>33</v>
      </c>
      <c r="E58" s="57" t="s">
        <v>34</v>
      </c>
      <c r="F58" s="56" t="s">
        <v>120</v>
      </c>
      <c r="G58" s="57" t="s">
        <v>36</v>
      </c>
      <c r="H58" s="53"/>
      <c r="I58" s="34">
        <v>11676.7</v>
      </c>
      <c r="J58" s="34">
        <v>11676.68226</v>
      </c>
      <c r="K58" s="34">
        <v>4707</v>
      </c>
      <c r="L58" s="34">
        <f>1365.04225+3342</f>
        <v>4707.0422500000004</v>
      </c>
      <c r="M58" s="34">
        <f t="shared" ref="M58" si="7">K58</f>
        <v>4707</v>
      </c>
      <c r="N58" s="34">
        <f t="shared" ref="N58" si="8">L58</f>
        <v>4707.0422500000004</v>
      </c>
      <c r="O58" s="34">
        <v>3982.5</v>
      </c>
      <c r="P58" s="34">
        <v>4657.5</v>
      </c>
      <c r="Q58" s="54"/>
      <c r="R58" s="14"/>
    </row>
    <row r="59" spans="1:18" ht="70.5" customHeight="1" x14ac:dyDescent="0.25">
      <c r="A59" s="28" t="s">
        <v>121</v>
      </c>
      <c r="B59" s="29" t="s">
        <v>122</v>
      </c>
      <c r="C59" s="28" t="s">
        <v>32</v>
      </c>
      <c r="D59" s="30" t="s">
        <v>33</v>
      </c>
      <c r="E59" s="31" t="s">
        <v>34</v>
      </c>
      <c r="F59" s="30" t="s">
        <v>123</v>
      </c>
      <c r="G59" s="31" t="s">
        <v>36</v>
      </c>
      <c r="H59" s="53"/>
      <c r="I59" s="34">
        <v>59630.6</v>
      </c>
      <c r="J59" s="34">
        <v>59630.424950000001</v>
      </c>
      <c r="K59" s="34">
        <v>24652.799999999999</v>
      </c>
      <c r="L59" s="34">
        <f>1628.57465+5520.74225+3987.2+13516.29999</f>
        <v>24652.816889999998</v>
      </c>
      <c r="M59" s="34">
        <f t="shared" ref="M59:M62" si="9">K59</f>
        <v>24652.799999999999</v>
      </c>
      <c r="N59" s="34">
        <f t="shared" ref="N59:N62" si="10">L59</f>
        <v>24652.816889999998</v>
      </c>
      <c r="O59" s="34">
        <v>20857.5</v>
      </c>
      <c r="P59" s="34">
        <v>24392.7</v>
      </c>
      <c r="Q59" s="54"/>
      <c r="R59" s="14"/>
    </row>
    <row r="60" spans="1:18" ht="89.25" x14ac:dyDescent="0.25">
      <c r="A60" s="28" t="s">
        <v>124</v>
      </c>
      <c r="B60" s="29" t="s">
        <v>125</v>
      </c>
      <c r="C60" s="28" t="s">
        <v>32</v>
      </c>
      <c r="D60" s="30" t="s">
        <v>33</v>
      </c>
      <c r="E60" s="31" t="s">
        <v>34</v>
      </c>
      <c r="F60" s="30" t="s">
        <v>126</v>
      </c>
      <c r="G60" s="31" t="s">
        <v>36</v>
      </c>
      <c r="H60" s="53"/>
      <c r="I60" s="34">
        <v>3803.5</v>
      </c>
      <c r="J60" s="34">
        <v>3803.50848</v>
      </c>
      <c r="K60" s="34">
        <v>533.1</v>
      </c>
      <c r="L60" s="34">
        <f>154.59859+378.5</f>
        <v>533.09859000000006</v>
      </c>
      <c r="M60" s="34">
        <f t="shared" si="9"/>
        <v>533.1</v>
      </c>
      <c r="N60" s="34">
        <f t="shared" si="10"/>
        <v>533.09859000000006</v>
      </c>
      <c r="O60" s="34">
        <v>452.6</v>
      </c>
      <c r="P60" s="34">
        <v>575.79999999999995</v>
      </c>
      <c r="Q60" s="54"/>
      <c r="R60" s="14"/>
    </row>
    <row r="61" spans="1:18" ht="148.5" customHeight="1" x14ac:dyDescent="0.25">
      <c r="A61" s="28" t="s">
        <v>127</v>
      </c>
      <c r="B61" s="29" t="s">
        <v>128</v>
      </c>
      <c r="C61" s="28" t="s">
        <v>32</v>
      </c>
      <c r="D61" s="30" t="s">
        <v>33</v>
      </c>
      <c r="E61" s="31" t="s">
        <v>34</v>
      </c>
      <c r="F61" s="30" t="s">
        <v>129</v>
      </c>
      <c r="G61" s="31" t="s">
        <v>36</v>
      </c>
      <c r="H61" s="53"/>
      <c r="I61" s="34">
        <v>17034.599999999999</v>
      </c>
      <c r="J61" s="34">
        <v>17034.553790000002</v>
      </c>
      <c r="K61" s="34">
        <v>13014.1</v>
      </c>
      <c r="L61" s="34">
        <f>3094.91268+679.17183+7577.2+1662.8</f>
        <v>13014.084509999999</v>
      </c>
      <c r="M61" s="34">
        <f t="shared" si="9"/>
        <v>13014.1</v>
      </c>
      <c r="N61" s="34">
        <f t="shared" si="10"/>
        <v>13014.084509999999</v>
      </c>
      <c r="O61" s="34">
        <v>11010.6</v>
      </c>
      <c r="P61" s="34">
        <v>12876.8</v>
      </c>
      <c r="Q61" s="54"/>
      <c r="R61" s="14"/>
    </row>
    <row r="62" spans="1:18" ht="127.5" x14ac:dyDescent="0.25">
      <c r="A62" s="28" t="s">
        <v>130</v>
      </c>
      <c r="B62" s="29" t="s">
        <v>131</v>
      </c>
      <c r="C62" s="28" t="s">
        <v>32</v>
      </c>
      <c r="D62" s="30" t="s">
        <v>33</v>
      </c>
      <c r="E62" s="31" t="s">
        <v>34</v>
      </c>
      <c r="F62" s="30" t="s">
        <v>132</v>
      </c>
      <c r="G62" s="31" t="s">
        <v>36</v>
      </c>
      <c r="H62" s="53"/>
      <c r="I62" s="34"/>
      <c r="J62" s="34"/>
      <c r="K62" s="34">
        <v>8175.6</v>
      </c>
      <c r="L62" s="34">
        <f>18.72907+58.5046+45.85393+143.2354</f>
        <v>266.32299999999998</v>
      </c>
      <c r="M62" s="34">
        <f t="shared" si="9"/>
        <v>8175.6</v>
      </c>
      <c r="N62" s="34">
        <f t="shared" si="10"/>
        <v>266.32299999999998</v>
      </c>
      <c r="O62" s="34">
        <v>6850.9</v>
      </c>
      <c r="P62" s="34">
        <v>8012</v>
      </c>
      <c r="Q62" s="54"/>
      <c r="R62" s="14"/>
    </row>
    <row r="63" spans="1:18" ht="43.5" customHeight="1" thickBot="1" x14ac:dyDescent="0.3">
      <c r="A63" s="55" t="s">
        <v>133</v>
      </c>
      <c r="B63" s="153" t="s">
        <v>134</v>
      </c>
      <c r="C63" s="154"/>
      <c r="D63" s="24"/>
      <c r="E63" s="24"/>
      <c r="F63" s="24"/>
      <c r="G63" s="25"/>
      <c r="H63" s="25"/>
      <c r="I63" s="26">
        <f>SUM(I64:I73)</f>
        <v>1101867.3999999999</v>
      </c>
      <c r="J63" s="26">
        <f t="shared" ref="J63:P63" si="11">SUM(J64:J73)</f>
        <v>1383794.68585</v>
      </c>
      <c r="K63" s="26">
        <f t="shared" si="11"/>
        <v>921783.51965999987</v>
      </c>
      <c r="L63" s="26">
        <f t="shared" si="11"/>
        <v>914774.42765999993</v>
      </c>
      <c r="M63" s="26">
        <f t="shared" si="11"/>
        <v>921783.51965999987</v>
      </c>
      <c r="N63" s="26">
        <f t="shared" si="11"/>
        <v>914774.42765999993</v>
      </c>
      <c r="O63" s="26">
        <f t="shared" si="11"/>
        <v>1046026.8</v>
      </c>
      <c r="P63" s="26">
        <f t="shared" si="11"/>
        <v>822577.60000000009</v>
      </c>
      <c r="Q63" s="27"/>
      <c r="R63" s="14"/>
    </row>
    <row r="64" spans="1:18" ht="76.5" x14ac:dyDescent="0.25">
      <c r="A64" s="28" t="s">
        <v>135</v>
      </c>
      <c r="B64" s="29" t="s">
        <v>136</v>
      </c>
      <c r="C64" s="28" t="s">
        <v>32</v>
      </c>
      <c r="D64" s="30" t="s">
        <v>33</v>
      </c>
      <c r="E64" s="31" t="s">
        <v>34</v>
      </c>
      <c r="F64" s="30" t="s">
        <v>137</v>
      </c>
      <c r="G64" s="31" t="s">
        <v>36</v>
      </c>
      <c r="H64" s="53"/>
      <c r="I64" s="34"/>
      <c r="J64" s="34"/>
      <c r="K64" s="34">
        <v>30000</v>
      </c>
      <c r="L64" s="34">
        <f t="shared" ref="L64" si="12">K64</f>
        <v>30000</v>
      </c>
      <c r="M64" s="34">
        <f t="shared" ref="M64" si="13">K64</f>
        <v>30000</v>
      </c>
      <c r="N64" s="34">
        <f t="shared" ref="N64" si="14">L64</f>
        <v>30000</v>
      </c>
      <c r="O64" s="34">
        <v>419421.5</v>
      </c>
      <c r="P64" s="34">
        <v>206907.9</v>
      </c>
      <c r="Q64" s="54"/>
      <c r="R64" s="14"/>
    </row>
    <row r="65" spans="1:18" ht="255" x14ac:dyDescent="0.25">
      <c r="A65" s="28" t="s">
        <v>138</v>
      </c>
      <c r="B65" s="29" t="s">
        <v>139</v>
      </c>
      <c r="C65" s="28" t="s">
        <v>32</v>
      </c>
      <c r="D65" s="30" t="s">
        <v>33</v>
      </c>
      <c r="E65" s="31" t="s">
        <v>34</v>
      </c>
      <c r="F65" s="30" t="s">
        <v>140</v>
      </c>
      <c r="G65" s="31" t="s">
        <v>36</v>
      </c>
      <c r="H65" s="53"/>
      <c r="I65" s="34">
        <v>823462.8</v>
      </c>
      <c r="J65" s="34">
        <v>823462.7733</v>
      </c>
      <c r="K65" s="34">
        <v>831006.1</v>
      </c>
      <c r="L65" s="34">
        <v>831006.06498000002</v>
      </c>
      <c r="M65" s="34">
        <f t="shared" ref="M65:M73" si="15">K65</f>
        <v>831006.1</v>
      </c>
      <c r="N65" s="34">
        <f t="shared" ref="N65:N73" si="16">L65</f>
        <v>831006.06498000002</v>
      </c>
      <c r="O65" s="34">
        <v>610826.9</v>
      </c>
      <c r="P65" s="34">
        <v>610826.9</v>
      </c>
      <c r="Q65" s="54"/>
      <c r="R65" s="14"/>
    </row>
    <row r="66" spans="1:18" ht="102" x14ac:dyDescent="0.25">
      <c r="A66" s="28" t="s">
        <v>141</v>
      </c>
      <c r="B66" s="29" t="s">
        <v>142</v>
      </c>
      <c r="C66" s="28" t="s">
        <v>32</v>
      </c>
      <c r="D66" s="30" t="s">
        <v>33</v>
      </c>
      <c r="E66" s="31" t="s">
        <v>34</v>
      </c>
      <c r="F66" s="30" t="s">
        <v>143</v>
      </c>
      <c r="G66" s="31" t="s">
        <v>39</v>
      </c>
      <c r="H66" s="53"/>
      <c r="I66" s="34"/>
      <c r="J66" s="34"/>
      <c r="K66" s="34"/>
      <c r="L66" s="34">
        <f t="shared" ref="L66:L73" si="17">K66</f>
        <v>0</v>
      </c>
      <c r="M66" s="34">
        <f t="shared" si="15"/>
        <v>0</v>
      </c>
      <c r="N66" s="34">
        <f t="shared" si="16"/>
        <v>0</v>
      </c>
      <c r="O66" s="34">
        <v>3000</v>
      </c>
      <c r="P66" s="34">
        <v>3000</v>
      </c>
      <c r="Q66" s="54"/>
      <c r="R66" s="14"/>
    </row>
    <row r="67" spans="1:18" ht="63.75" x14ac:dyDescent="0.25">
      <c r="A67" s="28" t="s">
        <v>144</v>
      </c>
      <c r="B67" s="29" t="s">
        <v>145</v>
      </c>
      <c r="C67" s="28" t="s">
        <v>32</v>
      </c>
      <c r="D67" s="30" t="s">
        <v>33</v>
      </c>
      <c r="E67" s="31" t="s">
        <v>34</v>
      </c>
      <c r="F67" s="30" t="s">
        <v>146</v>
      </c>
      <c r="G67" s="30" t="s">
        <v>36</v>
      </c>
      <c r="H67" s="53"/>
      <c r="I67" s="34">
        <v>1918</v>
      </c>
      <c r="J67" s="34">
        <v>1917.7003199999999</v>
      </c>
      <c r="K67" s="34">
        <v>282.02107000000001</v>
      </c>
      <c r="L67" s="34">
        <v>282.02107000000001</v>
      </c>
      <c r="M67" s="34">
        <f t="shared" si="15"/>
        <v>282.02107000000001</v>
      </c>
      <c r="N67" s="34">
        <f t="shared" si="16"/>
        <v>282.02107000000001</v>
      </c>
      <c r="O67" s="34"/>
      <c r="P67" s="34"/>
      <c r="Q67" s="54"/>
      <c r="R67" s="14"/>
    </row>
    <row r="68" spans="1:18" ht="63.75" x14ac:dyDescent="0.25">
      <c r="A68" s="28" t="s">
        <v>147</v>
      </c>
      <c r="B68" s="29" t="s">
        <v>148</v>
      </c>
      <c r="C68" s="28" t="s">
        <v>32</v>
      </c>
      <c r="D68" s="30" t="s">
        <v>33</v>
      </c>
      <c r="E68" s="31" t="s">
        <v>34</v>
      </c>
      <c r="F68" s="30" t="s">
        <v>149</v>
      </c>
      <c r="G68" s="30" t="s">
        <v>36</v>
      </c>
      <c r="H68" s="53"/>
      <c r="I68" s="34">
        <v>107981.1</v>
      </c>
      <c r="J68" s="34">
        <v>104725.01737</v>
      </c>
      <c r="K68" s="34">
        <v>50740.5</v>
      </c>
      <c r="L68" s="34">
        <v>50562.302159999999</v>
      </c>
      <c r="M68" s="34">
        <f t="shared" si="15"/>
        <v>50740.5</v>
      </c>
      <c r="N68" s="34">
        <f t="shared" si="16"/>
        <v>50562.302159999999</v>
      </c>
      <c r="O68" s="34">
        <v>12778.4</v>
      </c>
      <c r="P68" s="34">
        <v>1842.8</v>
      </c>
      <c r="Q68" s="48"/>
      <c r="R68" s="14"/>
    </row>
    <row r="69" spans="1:18" ht="51" x14ac:dyDescent="0.25">
      <c r="A69" s="28" t="s">
        <v>150</v>
      </c>
      <c r="B69" s="29" t="s">
        <v>151</v>
      </c>
      <c r="C69" s="28" t="s">
        <v>32</v>
      </c>
      <c r="D69" s="30" t="s">
        <v>33</v>
      </c>
      <c r="E69" s="31" t="s">
        <v>34</v>
      </c>
      <c r="F69" s="30" t="s">
        <v>152</v>
      </c>
      <c r="G69" s="30" t="s">
        <v>36</v>
      </c>
      <c r="H69" s="53"/>
      <c r="I69" s="34"/>
      <c r="J69" s="34"/>
      <c r="K69" s="34">
        <v>121.1</v>
      </c>
      <c r="L69" s="34">
        <v>120.94086</v>
      </c>
      <c r="M69" s="34">
        <f t="shared" si="15"/>
        <v>121.1</v>
      </c>
      <c r="N69" s="34">
        <f t="shared" si="16"/>
        <v>120.94086</v>
      </c>
      <c r="O69" s="34"/>
      <c r="P69" s="34"/>
      <c r="Q69" s="48"/>
      <c r="R69" s="14"/>
    </row>
    <row r="70" spans="1:18" ht="89.25" x14ac:dyDescent="0.25">
      <c r="A70" s="28" t="s">
        <v>153</v>
      </c>
      <c r="B70" s="29" t="s">
        <v>154</v>
      </c>
      <c r="C70" s="28" t="s">
        <v>32</v>
      </c>
      <c r="D70" s="30" t="s">
        <v>33</v>
      </c>
      <c r="E70" s="31" t="s">
        <v>34</v>
      </c>
      <c r="F70" s="30" t="s">
        <v>155</v>
      </c>
      <c r="G70" s="30" t="s">
        <v>36</v>
      </c>
      <c r="H70" s="53"/>
      <c r="I70" s="34">
        <v>7445.2</v>
      </c>
      <c r="J70" s="34">
        <v>7445.21126</v>
      </c>
      <c r="K70" s="34">
        <v>2803.0985900000001</v>
      </c>
      <c r="L70" s="34">
        <f>812.89859+1990.2</f>
        <v>2803.0985900000001</v>
      </c>
      <c r="M70" s="34">
        <f t="shared" si="15"/>
        <v>2803.0985900000001</v>
      </c>
      <c r="N70" s="34">
        <f t="shared" si="16"/>
        <v>2803.0985900000001</v>
      </c>
      <c r="O70" s="34"/>
      <c r="P70" s="34"/>
      <c r="Q70" s="48"/>
      <c r="R70" s="14"/>
    </row>
    <row r="71" spans="1:18" ht="45" x14ac:dyDescent="0.25">
      <c r="A71" s="58"/>
      <c r="B71" s="29" t="s">
        <v>156</v>
      </c>
      <c r="C71" s="28" t="s">
        <v>32</v>
      </c>
      <c r="D71" s="30" t="s">
        <v>33</v>
      </c>
      <c r="E71" s="31" t="s">
        <v>34</v>
      </c>
      <c r="F71" s="30" t="s">
        <v>157</v>
      </c>
      <c r="G71" s="30" t="s">
        <v>36</v>
      </c>
      <c r="H71" s="53"/>
      <c r="I71" s="34">
        <v>160378.1</v>
      </c>
      <c r="J71" s="34"/>
      <c r="K71" s="34">
        <v>6830.7</v>
      </c>
      <c r="L71" s="34"/>
      <c r="M71" s="34">
        <f t="shared" si="15"/>
        <v>6830.7</v>
      </c>
      <c r="N71" s="34">
        <f t="shared" si="16"/>
        <v>0</v>
      </c>
      <c r="O71" s="34"/>
      <c r="P71" s="34"/>
      <c r="Q71" s="48"/>
      <c r="R71" s="14"/>
    </row>
    <row r="72" spans="1:18" ht="63.75" x14ac:dyDescent="0.25">
      <c r="A72" s="58"/>
      <c r="B72" s="29" t="s">
        <v>158</v>
      </c>
      <c r="C72" s="28" t="s">
        <v>32</v>
      </c>
      <c r="D72" s="30" t="s">
        <v>33</v>
      </c>
      <c r="E72" s="31" t="s">
        <v>34</v>
      </c>
      <c r="F72" s="30" t="s">
        <v>159</v>
      </c>
      <c r="G72" s="30" t="s">
        <v>36</v>
      </c>
      <c r="H72" s="53"/>
      <c r="I72" s="34"/>
      <c r="J72" s="34">
        <v>445563.2</v>
      </c>
      <c r="K72" s="34"/>
      <c r="L72" s="34">
        <f t="shared" si="17"/>
        <v>0</v>
      </c>
      <c r="M72" s="34">
        <f t="shared" si="15"/>
        <v>0</v>
      </c>
      <c r="N72" s="34">
        <f t="shared" si="16"/>
        <v>0</v>
      </c>
      <c r="O72" s="34"/>
      <c r="P72" s="34"/>
      <c r="Q72" s="48"/>
      <c r="R72" s="14"/>
    </row>
    <row r="73" spans="1:18" ht="63.75" x14ac:dyDescent="0.25">
      <c r="A73" s="58"/>
      <c r="B73" s="29" t="s">
        <v>160</v>
      </c>
      <c r="C73" s="28" t="s">
        <v>32</v>
      </c>
      <c r="D73" s="30" t="s">
        <v>33</v>
      </c>
      <c r="E73" s="31" t="s">
        <v>34</v>
      </c>
      <c r="F73" s="30" t="s">
        <v>161</v>
      </c>
      <c r="G73" s="30" t="s">
        <v>36</v>
      </c>
      <c r="H73" s="53"/>
      <c r="I73" s="34">
        <v>682.2</v>
      </c>
      <c r="J73" s="34">
        <v>680.78359999999998</v>
      </c>
      <c r="K73" s="34"/>
      <c r="L73" s="34">
        <f t="shared" si="17"/>
        <v>0</v>
      </c>
      <c r="M73" s="34">
        <f t="shared" si="15"/>
        <v>0</v>
      </c>
      <c r="N73" s="34">
        <f t="shared" si="16"/>
        <v>0</v>
      </c>
      <c r="O73" s="34"/>
      <c r="P73" s="34"/>
      <c r="Q73" s="48"/>
      <c r="R73" s="14"/>
    </row>
    <row r="74" spans="1:18" ht="46.5" customHeight="1" x14ac:dyDescent="0.25">
      <c r="A74" s="55" t="s">
        <v>162</v>
      </c>
      <c r="B74" s="152" t="s">
        <v>163</v>
      </c>
      <c r="C74" s="152"/>
      <c r="D74" s="24"/>
      <c r="E74" s="24"/>
      <c r="F74" s="24"/>
      <c r="G74" s="59"/>
      <c r="H74" s="59"/>
      <c r="I74" s="60">
        <f>SUM(I75:I76)</f>
        <v>13065.8</v>
      </c>
      <c r="J74" s="60">
        <f t="shared" ref="J74:P74" si="18">SUM(J75:J76)</f>
        <v>4775.6731799999998</v>
      </c>
      <c r="K74" s="60">
        <f t="shared" si="18"/>
        <v>58216.600000000006</v>
      </c>
      <c r="L74" s="60">
        <f t="shared" si="18"/>
        <v>12163.375260000001</v>
      </c>
      <c r="M74" s="60">
        <f t="shared" si="18"/>
        <v>58216.600000000006</v>
      </c>
      <c r="N74" s="60">
        <f t="shared" si="18"/>
        <v>12163.375260000001</v>
      </c>
      <c r="O74" s="60">
        <f t="shared" si="18"/>
        <v>79169.899999999994</v>
      </c>
      <c r="P74" s="60">
        <f t="shared" si="18"/>
        <v>95370.099999999991</v>
      </c>
      <c r="Q74" s="59"/>
      <c r="R74" s="14"/>
    </row>
    <row r="75" spans="1:18" ht="178.5" x14ac:dyDescent="0.25">
      <c r="A75" s="28" t="s">
        <v>164</v>
      </c>
      <c r="B75" s="61" t="s">
        <v>165</v>
      </c>
      <c r="C75" s="58" t="s">
        <v>32</v>
      </c>
      <c r="D75" s="56" t="s">
        <v>33</v>
      </c>
      <c r="E75" s="57" t="s">
        <v>34</v>
      </c>
      <c r="F75" s="56" t="s">
        <v>166</v>
      </c>
      <c r="G75" s="56" t="s">
        <v>36</v>
      </c>
      <c r="H75" s="62"/>
      <c r="I75" s="63">
        <v>10031.4</v>
      </c>
      <c r="J75" s="63">
        <v>4261.0355</v>
      </c>
      <c r="K75" s="63">
        <v>9342.7999999999993</v>
      </c>
      <c r="L75" s="34">
        <f>2012.84507+4928</f>
        <v>6940.8450700000003</v>
      </c>
      <c r="M75" s="34">
        <f t="shared" ref="M75" si="19">K75</f>
        <v>9342.7999999999993</v>
      </c>
      <c r="N75" s="34">
        <f t="shared" ref="N75" si="20">L75</f>
        <v>6940.8450700000003</v>
      </c>
      <c r="O75" s="63">
        <v>14223.2</v>
      </c>
      <c r="P75" s="63">
        <v>21893.200000000001</v>
      </c>
      <c r="Q75" s="64"/>
      <c r="R75" s="14"/>
    </row>
    <row r="76" spans="1:18" ht="127.5" x14ac:dyDescent="0.25">
      <c r="A76" s="28" t="s">
        <v>167</v>
      </c>
      <c r="B76" s="29" t="s">
        <v>168</v>
      </c>
      <c r="C76" s="28" t="s">
        <v>32</v>
      </c>
      <c r="D76" s="30" t="s">
        <v>33</v>
      </c>
      <c r="E76" s="31" t="s">
        <v>34</v>
      </c>
      <c r="F76" s="30" t="s">
        <v>169</v>
      </c>
      <c r="G76" s="30" t="s">
        <v>170</v>
      </c>
      <c r="H76" s="53"/>
      <c r="I76" s="34">
        <v>3034.4</v>
      </c>
      <c r="J76" s="34">
        <v>514.63768000000005</v>
      </c>
      <c r="K76" s="34">
        <v>48873.8</v>
      </c>
      <c r="L76" s="34">
        <f>1179.32647+335.20729+2887.31653+820.6799</f>
        <v>5222.5301900000004</v>
      </c>
      <c r="M76" s="34">
        <f t="shared" ref="M76" si="21">K76</f>
        <v>48873.8</v>
      </c>
      <c r="N76" s="34">
        <f t="shared" ref="N76" si="22">L76</f>
        <v>5222.5301900000004</v>
      </c>
      <c r="O76" s="34">
        <v>64946.7</v>
      </c>
      <c r="P76" s="34">
        <v>73476.899999999994</v>
      </c>
      <c r="Q76" s="65"/>
      <c r="R76" s="14"/>
    </row>
    <row r="77" spans="1:18" ht="42" customHeight="1" thickBot="1" x14ac:dyDescent="0.3">
      <c r="A77" s="55" t="s">
        <v>171</v>
      </c>
      <c r="B77" s="153" t="s">
        <v>172</v>
      </c>
      <c r="C77" s="154"/>
      <c r="D77" s="24"/>
      <c r="E77" s="24"/>
      <c r="F77" s="24"/>
      <c r="G77" s="25"/>
      <c r="H77" s="25"/>
      <c r="I77" s="26">
        <f t="shared" ref="I77:P77" si="23">SUM(I78:I92)</f>
        <v>610222.00000000012</v>
      </c>
      <c r="J77" s="26">
        <f t="shared" si="23"/>
        <v>609258.94306000008</v>
      </c>
      <c r="K77" s="26">
        <f t="shared" si="23"/>
        <v>489150.3</v>
      </c>
      <c r="L77" s="26">
        <f t="shared" si="23"/>
        <v>489102.87004999997</v>
      </c>
      <c r="M77" s="26">
        <f t="shared" si="23"/>
        <v>489150.3</v>
      </c>
      <c r="N77" s="26">
        <f t="shared" si="23"/>
        <v>489102.87004999997</v>
      </c>
      <c r="O77" s="26">
        <f t="shared" si="23"/>
        <v>661801.89999999991</v>
      </c>
      <c r="P77" s="26">
        <f t="shared" si="23"/>
        <v>661801.89999999991</v>
      </c>
      <c r="Q77" s="27"/>
      <c r="R77" s="14"/>
    </row>
    <row r="78" spans="1:18" ht="51" x14ac:dyDescent="0.25">
      <c r="A78" s="28" t="s">
        <v>173</v>
      </c>
      <c r="B78" s="29" t="s">
        <v>174</v>
      </c>
      <c r="C78" s="28" t="s">
        <v>32</v>
      </c>
      <c r="D78" s="30" t="s">
        <v>33</v>
      </c>
      <c r="E78" s="31" t="s">
        <v>34</v>
      </c>
      <c r="F78" s="30" t="s">
        <v>175</v>
      </c>
      <c r="G78" s="30" t="s">
        <v>36</v>
      </c>
      <c r="H78" s="53"/>
      <c r="I78" s="34"/>
      <c r="J78" s="34"/>
      <c r="K78" s="34">
        <v>10000</v>
      </c>
      <c r="L78" s="34">
        <f>2900+7100</f>
        <v>10000</v>
      </c>
      <c r="M78" s="34">
        <f t="shared" ref="M78" si="24">K78</f>
        <v>10000</v>
      </c>
      <c r="N78" s="34">
        <f t="shared" ref="N78" si="25">L78</f>
        <v>10000</v>
      </c>
      <c r="O78" s="34">
        <v>16000</v>
      </c>
      <c r="P78" s="34">
        <v>16000</v>
      </c>
      <c r="Q78" s="65"/>
      <c r="R78" s="14"/>
    </row>
    <row r="79" spans="1:18" ht="63.75" x14ac:dyDescent="0.25">
      <c r="A79" s="28" t="s">
        <v>176</v>
      </c>
      <c r="B79" s="29" t="s">
        <v>177</v>
      </c>
      <c r="C79" s="28" t="s">
        <v>32</v>
      </c>
      <c r="D79" s="30" t="s">
        <v>33</v>
      </c>
      <c r="E79" s="31" t="s">
        <v>34</v>
      </c>
      <c r="F79" s="30" t="s">
        <v>178</v>
      </c>
      <c r="G79" s="30" t="s">
        <v>36</v>
      </c>
      <c r="H79" s="53"/>
      <c r="I79" s="34">
        <v>100000</v>
      </c>
      <c r="J79" s="34">
        <v>100000</v>
      </c>
      <c r="K79" s="34">
        <v>120000</v>
      </c>
      <c r="L79" s="34">
        <f t="shared" ref="L79:L92" si="26">K79</f>
        <v>120000</v>
      </c>
      <c r="M79" s="34">
        <f t="shared" ref="M79:M92" si="27">K79</f>
        <v>120000</v>
      </c>
      <c r="N79" s="34">
        <f t="shared" ref="N79:N92" si="28">L79</f>
        <v>120000</v>
      </c>
      <c r="O79" s="34">
        <v>120000</v>
      </c>
      <c r="P79" s="34">
        <v>120000</v>
      </c>
      <c r="Q79" s="65"/>
      <c r="R79" s="14"/>
    </row>
    <row r="80" spans="1:18" ht="140.25" x14ac:dyDescent="0.25">
      <c r="A80" s="28" t="s">
        <v>179</v>
      </c>
      <c r="B80" s="29" t="s">
        <v>180</v>
      </c>
      <c r="C80" s="28" t="s">
        <v>32</v>
      </c>
      <c r="D80" s="30" t="s">
        <v>33</v>
      </c>
      <c r="E80" s="31" t="s">
        <v>34</v>
      </c>
      <c r="F80" s="30" t="s">
        <v>181</v>
      </c>
      <c r="G80" s="30" t="s">
        <v>36</v>
      </c>
      <c r="H80" s="53"/>
      <c r="I80" s="34">
        <v>92700</v>
      </c>
      <c r="J80" s="34">
        <v>92700</v>
      </c>
      <c r="K80" s="34">
        <v>35000</v>
      </c>
      <c r="L80" s="34">
        <f t="shared" si="26"/>
        <v>35000</v>
      </c>
      <c r="M80" s="34">
        <f t="shared" si="27"/>
        <v>35000</v>
      </c>
      <c r="N80" s="34">
        <f t="shared" si="28"/>
        <v>35000</v>
      </c>
      <c r="O80" s="34">
        <v>80000</v>
      </c>
      <c r="P80" s="34">
        <v>80000</v>
      </c>
      <c r="Q80" s="65"/>
      <c r="R80" s="14"/>
    </row>
    <row r="81" spans="1:18" ht="76.5" x14ac:dyDescent="0.25">
      <c r="A81" s="28" t="s">
        <v>182</v>
      </c>
      <c r="B81" s="29" t="s">
        <v>183</v>
      </c>
      <c r="C81" s="28" t="s">
        <v>32</v>
      </c>
      <c r="D81" s="30" t="s">
        <v>33</v>
      </c>
      <c r="E81" s="31" t="s">
        <v>34</v>
      </c>
      <c r="F81" s="30" t="s">
        <v>184</v>
      </c>
      <c r="G81" s="30" t="s">
        <v>36</v>
      </c>
      <c r="H81" s="53"/>
      <c r="I81" s="34">
        <v>9000</v>
      </c>
      <c r="J81" s="34">
        <v>9000</v>
      </c>
      <c r="K81" s="34">
        <v>3000</v>
      </c>
      <c r="L81" s="34">
        <v>2980</v>
      </c>
      <c r="M81" s="34">
        <f t="shared" si="27"/>
        <v>3000</v>
      </c>
      <c r="N81" s="34">
        <f t="shared" si="28"/>
        <v>2980</v>
      </c>
      <c r="O81" s="34">
        <v>9000</v>
      </c>
      <c r="P81" s="34">
        <v>9000</v>
      </c>
      <c r="Q81" s="65"/>
      <c r="R81" s="14"/>
    </row>
    <row r="82" spans="1:18" ht="76.5" x14ac:dyDescent="0.25">
      <c r="A82" s="28" t="s">
        <v>185</v>
      </c>
      <c r="B82" s="29" t="s">
        <v>186</v>
      </c>
      <c r="C82" s="28" t="s">
        <v>32</v>
      </c>
      <c r="D82" s="30" t="s">
        <v>33</v>
      </c>
      <c r="E82" s="31" t="s">
        <v>34</v>
      </c>
      <c r="F82" s="30" t="s">
        <v>187</v>
      </c>
      <c r="G82" s="30" t="s">
        <v>39</v>
      </c>
      <c r="H82" s="53"/>
      <c r="I82" s="34">
        <v>208566.6</v>
      </c>
      <c r="J82" s="34">
        <v>208566.60560000001</v>
      </c>
      <c r="K82" s="34">
        <v>157481.20000000001</v>
      </c>
      <c r="L82" s="34">
        <v>157481.1912</v>
      </c>
      <c r="M82" s="34">
        <f t="shared" si="27"/>
        <v>157481.20000000001</v>
      </c>
      <c r="N82" s="34">
        <f t="shared" si="28"/>
        <v>157481.1912</v>
      </c>
      <c r="O82" s="34">
        <v>189488.4</v>
      </c>
      <c r="P82" s="34">
        <v>189488.4</v>
      </c>
      <c r="Q82" s="65"/>
      <c r="R82" s="14"/>
    </row>
    <row r="83" spans="1:18" ht="114.75" x14ac:dyDescent="0.25">
      <c r="A83" s="28" t="s">
        <v>188</v>
      </c>
      <c r="B83" s="29" t="s">
        <v>189</v>
      </c>
      <c r="C83" s="28" t="s">
        <v>32</v>
      </c>
      <c r="D83" s="30" t="s">
        <v>33</v>
      </c>
      <c r="E83" s="31" t="s">
        <v>34</v>
      </c>
      <c r="F83" s="30" t="s">
        <v>190</v>
      </c>
      <c r="G83" s="30" t="s">
        <v>36</v>
      </c>
      <c r="H83" s="53"/>
      <c r="I83" s="34">
        <v>22167.4</v>
      </c>
      <c r="J83" s="34">
        <v>22167.4</v>
      </c>
      <c r="K83" s="34">
        <v>30000</v>
      </c>
      <c r="L83" s="34">
        <f t="shared" si="26"/>
        <v>30000</v>
      </c>
      <c r="M83" s="34">
        <f t="shared" si="27"/>
        <v>30000</v>
      </c>
      <c r="N83" s="34">
        <f t="shared" si="28"/>
        <v>30000</v>
      </c>
      <c r="O83" s="34">
        <v>30000</v>
      </c>
      <c r="P83" s="34">
        <v>30000</v>
      </c>
      <c r="Q83" s="65"/>
      <c r="R83" s="14"/>
    </row>
    <row r="84" spans="1:18" ht="178.5" x14ac:dyDescent="0.25">
      <c r="A84" s="28" t="s">
        <v>191</v>
      </c>
      <c r="B84" s="29" t="s">
        <v>192</v>
      </c>
      <c r="C84" s="28" t="s">
        <v>32</v>
      </c>
      <c r="D84" s="30" t="s">
        <v>33</v>
      </c>
      <c r="E84" s="31" t="s">
        <v>34</v>
      </c>
      <c r="F84" s="30" t="s">
        <v>193</v>
      </c>
      <c r="G84" s="30" t="s">
        <v>39</v>
      </c>
      <c r="H84" s="53"/>
      <c r="I84" s="34">
        <v>24200</v>
      </c>
      <c r="J84" s="34">
        <v>24200</v>
      </c>
      <c r="K84" s="34">
        <v>20509.599999999999</v>
      </c>
      <c r="L84" s="34">
        <v>20509.599999999999</v>
      </c>
      <c r="M84" s="34">
        <f t="shared" si="27"/>
        <v>20509.599999999999</v>
      </c>
      <c r="N84" s="34">
        <f t="shared" si="28"/>
        <v>20509.599999999999</v>
      </c>
      <c r="O84" s="34">
        <v>32620.3</v>
      </c>
      <c r="P84" s="34">
        <v>32620.3</v>
      </c>
      <c r="Q84" s="54"/>
      <c r="R84" s="14"/>
    </row>
    <row r="85" spans="1:18" ht="114.75" x14ac:dyDescent="0.25">
      <c r="A85" s="28" t="s">
        <v>194</v>
      </c>
      <c r="B85" s="29" t="s">
        <v>195</v>
      </c>
      <c r="C85" s="28" t="s">
        <v>32</v>
      </c>
      <c r="D85" s="30" t="s">
        <v>33</v>
      </c>
      <c r="E85" s="31" t="s">
        <v>34</v>
      </c>
      <c r="F85" s="30" t="s">
        <v>196</v>
      </c>
      <c r="G85" s="30" t="s">
        <v>39</v>
      </c>
      <c r="H85" s="53"/>
      <c r="I85" s="34">
        <v>94530</v>
      </c>
      <c r="J85" s="34">
        <v>94530</v>
      </c>
      <c r="K85" s="34">
        <v>82964</v>
      </c>
      <c r="L85" s="34">
        <f t="shared" si="26"/>
        <v>82964</v>
      </c>
      <c r="M85" s="34">
        <f t="shared" si="27"/>
        <v>82964</v>
      </c>
      <c r="N85" s="34">
        <f t="shared" si="28"/>
        <v>82964</v>
      </c>
      <c r="O85" s="34">
        <v>111300</v>
      </c>
      <c r="P85" s="34">
        <v>111300</v>
      </c>
      <c r="Q85" s="54"/>
      <c r="R85" s="14"/>
    </row>
    <row r="86" spans="1:18" ht="191.25" x14ac:dyDescent="0.25">
      <c r="A86" s="28" t="s">
        <v>197</v>
      </c>
      <c r="B86" s="29" t="s">
        <v>198</v>
      </c>
      <c r="C86" s="28" t="s">
        <v>32</v>
      </c>
      <c r="D86" s="30" t="s">
        <v>33</v>
      </c>
      <c r="E86" s="31" t="s">
        <v>34</v>
      </c>
      <c r="F86" s="30" t="s">
        <v>199</v>
      </c>
      <c r="G86" s="30" t="s">
        <v>36</v>
      </c>
      <c r="H86" s="53"/>
      <c r="I86" s="34">
        <v>6713.3</v>
      </c>
      <c r="J86" s="34">
        <v>6713.3</v>
      </c>
      <c r="K86" s="34">
        <v>6497.6</v>
      </c>
      <c r="L86" s="34">
        <v>6497.54</v>
      </c>
      <c r="M86" s="34">
        <f t="shared" si="27"/>
        <v>6497.6</v>
      </c>
      <c r="N86" s="34">
        <f t="shared" si="28"/>
        <v>6497.54</v>
      </c>
      <c r="O86" s="34">
        <v>6763.2</v>
      </c>
      <c r="P86" s="34">
        <v>6763.2</v>
      </c>
      <c r="Q86" s="54"/>
      <c r="R86" s="14"/>
    </row>
    <row r="87" spans="1:18" ht="45" x14ac:dyDescent="0.25">
      <c r="A87" s="28" t="s">
        <v>200</v>
      </c>
      <c r="B87" s="29" t="s">
        <v>201</v>
      </c>
      <c r="C87" s="28" t="s">
        <v>32</v>
      </c>
      <c r="D87" s="30" t="s">
        <v>33</v>
      </c>
      <c r="E87" s="31" t="s">
        <v>34</v>
      </c>
      <c r="F87" s="30" t="s">
        <v>202</v>
      </c>
      <c r="G87" s="30" t="s">
        <v>39</v>
      </c>
      <c r="H87" s="53"/>
      <c r="I87" s="34">
        <v>5435.4</v>
      </c>
      <c r="J87" s="34">
        <v>5435.2583199999999</v>
      </c>
      <c r="K87" s="34"/>
      <c r="L87" s="34">
        <f t="shared" si="26"/>
        <v>0</v>
      </c>
      <c r="M87" s="34">
        <f t="shared" si="27"/>
        <v>0</v>
      </c>
      <c r="N87" s="34">
        <f t="shared" si="28"/>
        <v>0</v>
      </c>
      <c r="O87" s="34">
        <v>30000</v>
      </c>
      <c r="P87" s="34">
        <v>30000</v>
      </c>
      <c r="Q87" s="54"/>
      <c r="R87" s="14"/>
    </row>
    <row r="88" spans="1:18" ht="45" x14ac:dyDescent="0.25">
      <c r="A88" s="28" t="s">
        <v>203</v>
      </c>
      <c r="B88" s="29" t="s">
        <v>204</v>
      </c>
      <c r="C88" s="28" t="s">
        <v>32</v>
      </c>
      <c r="D88" s="30" t="s">
        <v>33</v>
      </c>
      <c r="E88" s="31" t="s">
        <v>34</v>
      </c>
      <c r="F88" s="30" t="s">
        <v>205</v>
      </c>
      <c r="G88" s="30" t="s">
        <v>85</v>
      </c>
      <c r="H88" s="53"/>
      <c r="I88" s="34">
        <v>7736.1</v>
      </c>
      <c r="J88" s="34">
        <v>6773.2043299999996</v>
      </c>
      <c r="K88" s="34">
        <v>10947.5</v>
      </c>
      <c r="L88" s="34">
        <v>10926.11628</v>
      </c>
      <c r="M88" s="34">
        <f t="shared" si="27"/>
        <v>10947.5</v>
      </c>
      <c r="N88" s="34">
        <f t="shared" si="28"/>
        <v>10926.11628</v>
      </c>
      <c r="O88" s="34">
        <v>14850</v>
      </c>
      <c r="P88" s="34">
        <v>14850</v>
      </c>
      <c r="Q88" s="54"/>
      <c r="R88" s="14"/>
    </row>
    <row r="89" spans="1:18" ht="89.25" x14ac:dyDescent="0.25">
      <c r="A89" s="28" t="s">
        <v>206</v>
      </c>
      <c r="B89" s="29" t="s">
        <v>207</v>
      </c>
      <c r="C89" s="28" t="s">
        <v>32</v>
      </c>
      <c r="D89" s="30" t="s">
        <v>33</v>
      </c>
      <c r="E89" s="31" t="s">
        <v>34</v>
      </c>
      <c r="F89" s="30" t="s">
        <v>208</v>
      </c>
      <c r="G89" s="30" t="s">
        <v>39</v>
      </c>
      <c r="H89" s="53"/>
      <c r="I89" s="34">
        <v>7454.8</v>
      </c>
      <c r="J89" s="34">
        <v>7454.7749899999999</v>
      </c>
      <c r="K89" s="34">
        <v>8476.5</v>
      </c>
      <c r="L89" s="34">
        <v>8470.5000700000001</v>
      </c>
      <c r="M89" s="34">
        <f t="shared" si="27"/>
        <v>8476.5</v>
      </c>
      <c r="N89" s="34">
        <f t="shared" si="28"/>
        <v>8470.5000700000001</v>
      </c>
      <c r="O89" s="34">
        <v>21780</v>
      </c>
      <c r="P89" s="34">
        <v>21780</v>
      </c>
      <c r="Q89" s="54"/>
      <c r="R89" s="14"/>
    </row>
    <row r="90" spans="1:18" ht="51" x14ac:dyDescent="0.25">
      <c r="A90" s="28" t="s">
        <v>209</v>
      </c>
      <c r="B90" s="66" t="s">
        <v>210</v>
      </c>
      <c r="C90" s="28" t="s">
        <v>32</v>
      </c>
      <c r="D90" s="30" t="s">
        <v>33</v>
      </c>
      <c r="E90" s="31" t="s">
        <v>34</v>
      </c>
      <c r="F90" s="30" t="s">
        <v>211</v>
      </c>
      <c r="G90" s="30" t="s">
        <v>212</v>
      </c>
      <c r="H90" s="53"/>
      <c r="I90" s="34"/>
      <c r="J90" s="34"/>
      <c r="K90" s="34">
        <v>4273.8999999999996</v>
      </c>
      <c r="L90" s="34">
        <v>4273.9224999999997</v>
      </c>
      <c r="M90" s="34">
        <f t="shared" si="27"/>
        <v>4273.8999999999996</v>
      </c>
      <c r="N90" s="34">
        <f t="shared" si="28"/>
        <v>4273.9224999999997</v>
      </c>
      <c r="O90" s="34"/>
      <c r="P90" s="34"/>
      <c r="Q90" s="65"/>
      <c r="R90" s="14"/>
    </row>
    <row r="91" spans="1:18" ht="63.75" x14ac:dyDescent="0.25">
      <c r="A91" s="58"/>
      <c r="B91" s="66" t="s">
        <v>213</v>
      </c>
      <c r="C91" s="28" t="s">
        <v>32</v>
      </c>
      <c r="D91" s="30" t="s">
        <v>33</v>
      </c>
      <c r="E91" s="31" t="s">
        <v>34</v>
      </c>
      <c r="F91" s="30" t="s">
        <v>214</v>
      </c>
      <c r="G91" s="30" t="s">
        <v>39</v>
      </c>
      <c r="H91" s="53"/>
      <c r="I91" s="34">
        <v>1523.9</v>
      </c>
      <c r="J91" s="34">
        <v>1523.8833199999999</v>
      </c>
      <c r="K91" s="34"/>
      <c r="L91" s="34">
        <f t="shared" si="26"/>
        <v>0</v>
      </c>
      <c r="M91" s="34">
        <f t="shared" si="27"/>
        <v>0</v>
      </c>
      <c r="N91" s="34">
        <f t="shared" si="28"/>
        <v>0</v>
      </c>
      <c r="O91" s="34"/>
      <c r="P91" s="34"/>
      <c r="Q91" s="48"/>
      <c r="R91" s="14"/>
    </row>
    <row r="92" spans="1:18" ht="204" x14ac:dyDescent="0.25">
      <c r="A92" s="58"/>
      <c r="B92" s="66" t="s">
        <v>215</v>
      </c>
      <c r="C92" s="28" t="s">
        <v>32</v>
      </c>
      <c r="D92" s="30" t="s">
        <v>33</v>
      </c>
      <c r="E92" s="31" t="s">
        <v>34</v>
      </c>
      <c r="F92" s="30" t="s">
        <v>216</v>
      </c>
      <c r="G92" s="30" t="s">
        <v>39</v>
      </c>
      <c r="H92" s="53"/>
      <c r="I92" s="34">
        <v>30194.5</v>
      </c>
      <c r="J92" s="34">
        <v>30194.516500000002</v>
      </c>
      <c r="K92" s="34"/>
      <c r="L92" s="34">
        <f t="shared" si="26"/>
        <v>0</v>
      </c>
      <c r="M92" s="34">
        <f t="shared" si="27"/>
        <v>0</v>
      </c>
      <c r="N92" s="34">
        <f t="shared" si="28"/>
        <v>0</v>
      </c>
      <c r="O92" s="34"/>
      <c r="P92" s="34"/>
      <c r="Q92" s="48"/>
      <c r="R92" s="14"/>
    </row>
    <row r="93" spans="1:18" ht="36.75" customHeight="1" x14ac:dyDescent="0.25">
      <c r="A93" s="55" t="s">
        <v>217</v>
      </c>
      <c r="B93" s="155" t="s">
        <v>360</v>
      </c>
      <c r="C93" s="155"/>
      <c r="D93" s="24"/>
      <c r="E93" s="24"/>
      <c r="F93" s="24"/>
      <c r="G93" s="59"/>
      <c r="H93" s="59"/>
      <c r="I93" s="60">
        <f>SUM(I94:I106)</f>
        <v>1092822.8999999999</v>
      </c>
      <c r="J93" s="60">
        <f t="shared" ref="J93:P93" si="29">SUM(J94:J106)</f>
        <v>1089412.6876399999</v>
      </c>
      <c r="K93" s="60">
        <f t="shared" si="29"/>
        <v>1160584.6000000001</v>
      </c>
      <c r="L93" s="60">
        <f t="shared" si="29"/>
        <v>1159726.8910699999</v>
      </c>
      <c r="M93" s="60">
        <f t="shared" si="29"/>
        <v>1160584.6000000001</v>
      </c>
      <c r="N93" s="60">
        <f t="shared" si="29"/>
        <v>1159726.8910699999</v>
      </c>
      <c r="O93" s="60">
        <f t="shared" si="29"/>
        <v>1001530.6000000001</v>
      </c>
      <c r="P93" s="60">
        <f t="shared" si="29"/>
        <v>993821.70000000019</v>
      </c>
      <c r="Q93" s="59"/>
      <c r="R93" s="14"/>
    </row>
    <row r="94" spans="1:18" ht="51" x14ac:dyDescent="0.25">
      <c r="A94" s="28" t="s">
        <v>218</v>
      </c>
      <c r="B94" s="61" t="s">
        <v>219</v>
      </c>
      <c r="C94" s="58" t="s">
        <v>32</v>
      </c>
      <c r="D94" s="56" t="s">
        <v>33</v>
      </c>
      <c r="E94" s="57" t="s">
        <v>220</v>
      </c>
      <c r="F94" s="56" t="s">
        <v>221</v>
      </c>
      <c r="G94" s="56" t="s">
        <v>222</v>
      </c>
      <c r="H94" s="62"/>
      <c r="I94" s="63">
        <v>9777.7000000000007</v>
      </c>
      <c r="J94" s="63">
        <v>9777.7000000000007</v>
      </c>
      <c r="K94" s="63">
        <v>8623</v>
      </c>
      <c r="L94" s="34">
        <f>2251.6+6371.4</f>
        <v>8623</v>
      </c>
      <c r="M94" s="34">
        <f t="shared" ref="M94" si="30">K94</f>
        <v>8623</v>
      </c>
      <c r="N94" s="34">
        <f t="shared" ref="N94" si="31">L94</f>
        <v>8623</v>
      </c>
      <c r="O94" s="63">
        <v>66200.7</v>
      </c>
      <c r="P94" s="63">
        <v>73316</v>
      </c>
      <c r="Q94" s="67"/>
      <c r="R94" s="14"/>
    </row>
    <row r="95" spans="1:18" ht="114.75" x14ac:dyDescent="0.25">
      <c r="A95" s="28" t="s">
        <v>223</v>
      </c>
      <c r="B95" s="29" t="s">
        <v>224</v>
      </c>
      <c r="C95" s="28" t="s">
        <v>32</v>
      </c>
      <c r="D95" s="30" t="s">
        <v>33</v>
      </c>
      <c r="E95" s="31" t="s">
        <v>220</v>
      </c>
      <c r="F95" s="30" t="s">
        <v>225</v>
      </c>
      <c r="G95" s="30" t="s">
        <v>222</v>
      </c>
      <c r="H95" s="53"/>
      <c r="I95" s="34">
        <v>580301.30000000005</v>
      </c>
      <c r="J95" s="34">
        <v>580301.30700000003</v>
      </c>
      <c r="K95" s="34">
        <v>668355.9</v>
      </c>
      <c r="L95" s="34">
        <v>668355.86430000002</v>
      </c>
      <c r="M95" s="34">
        <f t="shared" ref="M95:M106" si="32">K95</f>
        <v>668355.9</v>
      </c>
      <c r="N95" s="34">
        <f t="shared" ref="N95:N106" si="33">L95</f>
        <v>668355.86430000002</v>
      </c>
      <c r="O95" s="34">
        <v>489353.4</v>
      </c>
      <c r="P95" s="34">
        <v>473695</v>
      </c>
      <c r="Q95" s="54"/>
      <c r="R95" s="14"/>
    </row>
    <row r="96" spans="1:18" ht="165.75" x14ac:dyDescent="0.25">
      <c r="A96" s="28" t="s">
        <v>226</v>
      </c>
      <c r="B96" s="29" t="s">
        <v>227</v>
      </c>
      <c r="C96" s="28" t="s">
        <v>32</v>
      </c>
      <c r="D96" s="30" t="s">
        <v>33</v>
      </c>
      <c r="E96" s="31" t="s">
        <v>34</v>
      </c>
      <c r="F96" s="30" t="s">
        <v>228</v>
      </c>
      <c r="G96" s="30" t="s">
        <v>36</v>
      </c>
      <c r="H96" s="53"/>
      <c r="I96" s="34">
        <v>9429.9</v>
      </c>
      <c r="J96" s="34">
        <v>9429.9468300000008</v>
      </c>
      <c r="K96" s="34">
        <v>1952.4</v>
      </c>
      <c r="L96" s="34">
        <v>1952.3952999999999</v>
      </c>
      <c r="M96" s="34">
        <f t="shared" si="32"/>
        <v>1952.4</v>
      </c>
      <c r="N96" s="34">
        <f t="shared" si="33"/>
        <v>1952.3952999999999</v>
      </c>
      <c r="O96" s="34">
        <v>44256.800000000003</v>
      </c>
      <c r="P96" s="34">
        <v>44256.800000000003</v>
      </c>
      <c r="Q96" s="54"/>
      <c r="R96" s="14"/>
    </row>
    <row r="97" spans="1:18" ht="127.5" x14ac:dyDescent="0.25">
      <c r="A97" s="28" t="s">
        <v>229</v>
      </c>
      <c r="B97" s="29" t="s">
        <v>230</v>
      </c>
      <c r="C97" s="28" t="s">
        <v>32</v>
      </c>
      <c r="D97" s="30" t="s">
        <v>33</v>
      </c>
      <c r="E97" s="31" t="s">
        <v>220</v>
      </c>
      <c r="F97" s="32" t="s">
        <v>231</v>
      </c>
      <c r="G97" s="30" t="s">
        <v>222</v>
      </c>
      <c r="H97" s="53"/>
      <c r="I97" s="34">
        <v>10240.6</v>
      </c>
      <c r="J97" s="34">
        <v>10240.6113</v>
      </c>
      <c r="K97" s="34">
        <v>26240.799999999999</v>
      </c>
      <c r="L97" s="34">
        <v>26240.839380000001</v>
      </c>
      <c r="M97" s="34">
        <f t="shared" si="32"/>
        <v>26240.799999999999</v>
      </c>
      <c r="N97" s="34">
        <f t="shared" si="33"/>
        <v>26240.839380000001</v>
      </c>
      <c r="O97" s="34">
        <v>28450.799999999999</v>
      </c>
      <c r="P97" s="34">
        <v>28450.799999999999</v>
      </c>
      <c r="Q97" s="54"/>
      <c r="R97" s="14"/>
    </row>
    <row r="98" spans="1:18" ht="102" x14ac:dyDescent="0.25">
      <c r="A98" s="28" t="s">
        <v>232</v>
      </c>
      <c r="B98" s="29" t="s">
        <v>233</v>
      </c>
      <c r="C98" s="28" t="s">
        <v>32</v>
      </c>
      <c r="D98" s="30" t="s">
        <v>33</v>
      </c>
      <c r="E98" s="31" t="s">
        <v>34</v>
      </c>
      <c r="F98" s="30" t="s">
        <v>234</v>
      </c>
      <c r="G98" s="30" t="s">
        <v>36</v>
      </c>
      <c r="H98" s="53"/>
      <c r="I98" s="34">
        <v>1479.2</v>
      </c>
      <c r="J98" s="34">
        <v>1461.3608999999999</v>
      </c>
      <c r="K98" s="34">
        <v>1249.5</v>
      </c>
      <c r="L98" s="34">
        <f>301.74401+688.87384</f>
        <v>990.61784999999998</v>
      </c>
      <c r="M98" s="34">
        <f t="shared" si="32"/>
        <v>1249.5</v>
      </c>
      <c r="N98" s="34">
        <f t="shared" si="33"/>
        <v>990.61784999999998</v>
      </c>
      <c r="O98" s="34">
        <v>1762.2</v>
      </c>
      <c r="P98" s="34">
        <v>1750.3</v>
      </c>
      <c r="Q98" s="54"/>
      <c r="R98" s="14"/>
    </row>
    <row r="99" spans="1:18" ht="148.5" customHeight="1" x14ac:dyDescent="0.25">
      <c r="A99" s="28" t="s">
        <v>235</v>
      </c>
      <c r="B99" s="29" t="s">
        <v>236</v>
      </c>
      <c r="C99" s="28" t="s">
        <v>32</v>
      </c>
      <c r="D99" s="30" t="s">
        <v>33</v>
      </c>
      <c r="E99" s="31" t="s">
        <v>237</v>
      </c>
      <c r="F99" s="30" t="s">
        <v>238</v>
      </c>
      <c r="G99" s="30" t="s">
        <v>36</v>
      </c>
      <c r="H99" s="53"/>
      <c r="I99" s="34">
        <v>2088</v>
      </c>
      <c r="J99" s="34">
        <v>1925.4388799999999</v>
      </c>
      <c r="K99" s="34">
        <v>6951.3</v>
      </c>
      <c r="L99" s="34">
        <f>5174.23621+1777.1</f>
        <v>6951.3362099999995</v>
      </c>
      <c r="M99" s="34">
        <f t="shared" si="32"/>
        <v>6951.3</v>
      </c>
      <c r="N99" s="34">
        <f t="shared" si="33"/>
        <v>6951.3362099999995</v>
      </c>
      <c r="O99" s="34">
        <v>3567</v>
      </c>
      <c r="P99" s="34">
        <v>3688.1</v>
      </c>
      <c r="Q99" s="54"/>
      <c r="R99" s="14"/>
    </row>
    <row r="100" spans="1:18" ht="178.5" x14ac:dyDescent="0.25">
      <c r="A100" s="28" t="s">
        <v>239</v>
      </c>
      <c r="B100" s="29" t="s">
        <v>240</v>
      </c>
      <c r="C100" s="28" t="s">
        <v>32</v>
      </c>
      <c r="D100" s="30" t="s">
        <v>33</v>
      </c>
      <c r="E100" s="31" t="s">
        <v>220</v>
      </c>
      <c r="F100" s="32" t="s">
        <v>241</v>
      </c>
      <c r="G100" s="30" t="s">
        <v>222</v>
      </c>
      <c r="H100" s="53"/>
      <c r="I100" s="34">
        <v>588.4</v>
      </c>
      <c r="J100" s="34">
        <v>588.38699999999994</v>
      </c>
      <c r="K100" s="34">
        <v>255.5</v>
      </c>
      <c r="L100" s="34">
        <v>255.45699999999999</v>
      </c>
      <c r="M100" s="34">
        <f t="shared" si="32"/>
        <v>255.5</v>
      </c>
      <c r="N100" s="34">
        <f t="shared" si="33"/>
        <v>255.45699999999999</v>
      </c>
      <c r="O100" s="34">
        <v>270.2</v>
      </c>
      <c r="P100" s="34">
        <v>112.6</v>
      </c>
      <c r="Q100" s="54"/>
      <c r="R100" s="14"/>
    </row>
    <row r="101" spans="1:18" ht="127.5" x14ac:dyDescent="0.25">
      <c r="A101" s="28" t="s">
        <v>242</v>
      </c>
      <c r="B101" s="29" t="s">
        <v>243</v>
      </c>
      <c r="C101" s="28" t="s">
        <v>32</v>
      </c>
      <c r="D101" s="30" t="s">
        <v>33</v>
      </c>
      <c r="E101" s="31" t="s">
        <v>34</v>
      </c>
      <c r="F101" s="32" t="s">
        <v>244</v>
      </c>
      <c r="G101" s="30" t="s">
        <v>245</v>
      </c>
      <c r="H101" s="53"/>
      <c r="I101" s="34">
        <v>93737.8</v>
      </c>
      <c r="J101" s="34">
        <v>90507.974629999997</v>
      </c>
      <c r="K101" s="34">
        <v>111421</v>
      </c>
      <c r="L101" s="34">
        <v>110822.18268</v>
      </c>
      <c r="M101" s="34">
        <f t="shared" si="32"/>
        <v>111421</v>
      </c>
      <c r="N101" s="34">
        <f t="shared" si="33"/>
        <v>110822.18268</v>
      </c>
      <c r="O101" s="34">
        <v>126592.9</v>
      </c>
      <c r="P101" s="34">
        <v>127475.5</v>
      </c>
      <c r="Q101" s="54"/>
      <c r="R101" s="14"/>
    </row>
    <row r="102" spans="1:18" ht="51" x14ac:dyDescent="0.25">
      <c r="A102" s="28" t="s">
        <v>246</v>
      </c>
      <c r="B102" s="29" t="s">
        <v>247</v>
      </c>
      <c r="C102" s="28" t="s">
        <v>32</v>
      </c>
      <c r="D102" s="30" t="s">
        <v>33</v>
      </c>
      <c r="E102" s="31" t="s">
        <v>220</v>
      </c>
      <c r="F102" s="32" t="s">
        <v>248</v>
      </c>
      <c r="G102" s="30" t="s">
        <v>249</v>
      </c>
      <c r="H102" s="53"/>
      <c r="I102" s="34">
        <v>160000</v>
      </c>
      <c r="J102" s="34">
        <v>160000</v>
      </c>
      <c r="K102" s="34">
        <v>160000</v>
      </c>
      <c r="L102" s="34">
        <f t="shared" ref="L102:L106" si="34">K102</f>
        <v>160000</v>
      </c>
      <c r="M102" s="34">
        <f t="shared" si="32"/>
        <v>160000</v>
      </c>
      <c r="N102" s="34">
        <f t="shared" si="33"/>
        <v>160000</v>
      </c>
      <c r="O102" s="34">
        <v>160000</v>
      </c>
      <c r="P102" s="34">
        <v>160000</v>
      </c>
      <c r="Q102" s="54"/>
      <c r="R102" s="14"/>
    </row>
    <row r="103" spans="1:18" ht="178.5" x14ac:dyDescent="0.25">
      <c r="A103" s="28" t="s">
        <v>250</v>
      </c>
      <c r="B103" s="29" t="s">
        <v>251</v>
      </c>
      <c r="C103" s="28" t="s">
        <v>32</v>
      </c>
      <c r="D103" s="30" t="s">
        <v>33</v>
      </c>
      <c r="E103" s="31" t="s">
        <v>34</v>
      </c>
      <c r="F103" s="32" t="s">
        <v>252</v>
      </c>
      <c r="G103" s="30" t="s">
        <v>85</v>
      </c>
      <c r="H103" s="53"/>
      <c r="I103" s="34">
        <f>167+13</f>
        <v>180</v>
      </c>
      <c r="J103" s="34">
        <f>168.7111+11.25</f>
        <v>179.96109999999999</v>
      </c>
      <c r="K103" s="34">
        <v>535.20000000000005</v>
      </c>
      <c r="L103" s="34">
        <v>535.19835</v>
      </c>
      <c r="M103" s="34">
        <f t="shared" si="32"/>
        <v>535.20000000000005</v>
      </c>
      <c r="N103" s="34">
        <f t="shared" si="33"/>
        <v>535.19835</v>
      </c>
      <c r="O103" s="34">
        <v>2625.8</v>
      </c>
      <c r="P103" s="34">
        <v>2625.8</v>
      </c>
      <c r="Q103" s="54"/>
      <c r="R103" s="14"/>
    </row>
    <row r="104" spans="1:18" ht="89.25" x14ac:dyDescent="0.25">
      <c r="A104" s="28" t="s">
        <v>253</v>
      </c>
      <c r="B104" s="29" t="s">
        <v>254</v>
      </c>
      <c r="C104" s="28" t="s">
        <v>32</v>
      </c>
      <c r="D104" s="30" t="s">
        <v>33</v>
      </c>
      <c r="E104" s="31" t="s">
        <v>34</v>
      </c>
      <c r="F104" s="32" t="s">
        <v>255</v>
      </c>
      <c r="G104" s="30" t="s">
        <v>256</v>
      </c>
      <c r="H104" s="53"/>
      <c r="I104" s="34">
        <v>175000</v>
      </c>
      <c r="J104" s="34">
        <v>175000</v>
      </c>
      <c r="K104" s="51">
        <v>175000</v>
      </c>
      <c r="L104" s="34">
        <f t="shared" si="34"/>
        <v>175000</v>
      </c>
      <c r="M104" s="34">
        <f t="shared" si="32"/>
        <v>175000</v>
      </c>
      <c r="N104" s="34">
        <f t="shared" si="33"/>
        <v>175000</v>
      </c>
      <c r="O104" s="34">
        <v>50000</v>
      </c>
      <c r="P104" s="34">
        <v>50000</v>
      </c>
      <c r="Q104" s="54"/>
      <c r="R104" s="14"/>
    </row>
    <row r="105" spans="1:18" ht="216.75" x14ac:dyDescent="0.25">
      <c r="A105" s="28" t="s">
        <v>257</v>
      </c>
      <c r="B105" s="29" t="s">
        <v>258</v>
      </c>
      <c r="C105" s="28" t="s">
        <v>32</v>
      </c>
      <c r="D105" s="30" t="s">
        <v>33</v>
      </c>
      <c r="E105" s="31" t="s">
        <v>220</v>
      </c>
      <c r="F105" s="32" t="s">
        <v>259</v>
      </c>
      <c r="G105" s="30" t="s">
        <v>222</v>
      </c>
      <c r="H105" s="53"/>
      <c r="I105" s="34"/>
      <c r="J105" s="34"/>
      <c r="K105" s="34"/>
      <c r="L105" s="34">
        <f t="shared" si="34"/>
        <v>0</v>
      </c>
      <c r="M105" s="34">
        <f t="shared" si="32"/>
        <v>0</v>
      </c>
      <c r="N105" s="34">
        <f t="shared" si="33"/>
        <v>0</v>
      </c>
      <c r="O105" s="34">
        <v>28450.799999999999</v>
      </c>
      <c r="P105" s="34">
        <v>28450.799999999999</v>
      </c>
      <c r="Q105" s="54"/>
      <c r="R105" s="14"/>
    </row>
    <row r="106" spans="1:18" ht="76.5" x14ac:dyDescent="0.25">
      <c r="A106" s="58"/>
      <c r="B106" s="36" t="s">
        <v>260</v>
      </c>
      <c r="C106" s="28" t="s">
        <v>32</v>
      </c>
      <c r="D106" s="30" t="s">
        <v>33</v>
      </c>
      <c r="E106" s="31" t="s">
        <v>261</v>
      </c>
      <c r="F106" s="32">
        <v>1470074110</v>
      </c>
      <c r="G106" s="30" t="s">
        <v>262</v>
      </c>
      <c r="H106" s="53"/>
      <c r="I106" s="34">
        <v>50000</v>
      </c>
      <c r="J106" s="34">
        <v>50000</v>
      </c>
      <c r="K106" s="34"/>
      <c r="L106" s="34">
        <f t="shared" si="34"/>
        <v>0</v>
      </c>
      <c r="M106" s="34">
        <f t="shared" si="32"/>
        <v>0</v>
      </c>
      <c r="N106" s="34">
        <f t="shared" si="33"/>
        <v>0</v>
      </c>
      <c r="O106" s="34"/>
      <c r="P106" s="68"/>
      <c r="Q106" s="69"/>
      <c r="R106" s="14"/>
    </row>
    <row r="107" spans="1:18" ht="27" customHeight="1" thickBot="1" x14ac:dyDescent="0.3">
      <c r="A107" s="55" t="s">
        <v>263</v>
      </c>
      <c r="B107" s="153" t="s">
        <v>264</v>
      </c>
      <c r="C107" s="156"/>
      <c r="D107" s="70"/>
      <c r="E107" s="70"/>
      <c r="F107" s="71"/>
      <c r="G107" s="25"/>
      <c r="H107" s="25"/>
      <c r="I107" s="26">
        <f>SUM(I108:I111)</f>
        <v>130426.8</v>
      </c>
      <c r="J107" s="26">
        <f t="shared" ref="J107:P107" si="35">SUM(J108:J111)</f>
        <v>130426.77816</v>
      </c>
      <c r="K107" s="26">
        <f t="shared" si="35"/>
        <v>122407.5</v>
      </c>
      <c r="L107" s="26">
        <f t="shared" si="35"/>
        <v>121952.10648</v>
      </c>
      <c r="M107" s="26">
        <f t="shared" si="35"/>
        <v>122407.5</v>
      </c>
      <c r="N107" s="26">
        <f t="shared" si="35"/>
        <v>121952.10648</v>
      </c>
      <c r="O107" s="26">
        <f t="shared" si="35"/>
        <v>131000</v>
      </c>
      <c r="P107" s="26">
        <f t="shared" si="35"/>
        <v>131000</v>
      </c>
      <c r="Q107" s="27"/>
      <c r="R107" s="14"/>
    </row>
    <row r="108" spans="1:18" ht="191.25" x14ac:dyDescent="0.25">
      <c r="A108" s="28" t="s">
        <v>265</v>
      </c>
      <c r="B108" s="29" t="s">
        <v>266</v>
      </c>
      <c r="C108" s="28" t="s">
        <v>32</v>
      </c>
      <c r="D108" s="30" t="s">
        <v>33</v>
      </c>
      <c r="E108" s="31" t="s">
        <v>267</v>
      </c>
      <c r="F108" s="32" t="s">
        <v>268</v>
      </c>
      <c r="G108" s="30" t="s">
        <v>170</v>
      </c>
      <c r="H108" s="53"/>
      <c r="I108" s="34">
        <v>51682.5</v>
      </c>
      <c r="J108" s="34">
        <v>51682.484389999998</v>
      </c>
      <c r="K108" s="34">
        <v>42012.1</v>
      </c>
      <c r="L108" s="34">
        <v>41556.779199999997</v>
      </c>
      <c r="M108" s="34">
        <f t="shared" ref="M108" si="36">K108</f>
        <v>42012.1</v>
      </c>
      <c r="N108" s="34">
        <f t="shared" ref="N108" si="37">L108</f>
        <v>41556.779199999997</v>
      </c>
      <c r="O108" s="34">
        <v>50000</v>
      </c>
      <c r="P108" s="34">
        <v>50000</v>
      </c>
      <c r="Q108" s="54"/>
      <c r="R108" s="14"/>
    </row>
    <row r="109" spans="1:18" ht="89.25" x14ac:dyDescent="0.25">
      <c r="A109" s="28" t="s">
        <v>269</v>
      </c>
      <c r="B109" s="29" t="s">
        <v>270</v>
      </c>
      <c r="C109" s="28" t="s">
        <v>32</v>
      </c>
      <c r="D109" s="30" t="s">
        <v>33</v>
      </c>
      <c r="E109" s="31" t="s">
        <v>267</v>
      </c>
      <c r="F109" s="32" t="s">
        <v>271</v>
      </c>
      <c r="G109" s="30" t="s">
        <v>39</v>
      </c>
      <c r="H109" s="53"/>
      <c r="I109" s="34">
        <v>65905.8</v>
      </c>
      <c r="J109" s="34">
        <v>65905.780769999998</v>
      </c>
      <c r="K109" s="34">
        <v>65564.800000000003</v>
      </c>
      <c r="L109" s="34">
        <v>65564.768880000003</v>
      </c>
      <c r="M109" s="34">
        <f t="shared" ref="M109:M111" si="38">K109</f>
        <v>65564.800000000003</v>
      </c>
      <c r="N109" s="34">
        <f t="shared" ref="N109:N111" si="39">L109</f>
        <v>65564.768880000003</v>
      </c>
      <c r="O109" s="34">
        <v>66000</v>
      </c>
      <c r="P109" s="34">
        <v>66000</v>
      </c>
      <c r="Q109" s="54"/>
      <c r="R109" s="14"/>
    </row>
    <row r="110" spans="1:18" ht="204" x14ac:dyDescent="0.25">
      <c r="A110" s="28" t="s">
        <v>272</v>
      </c>
      <c r="B110" s="29" t="s">
        <v>273</v>
      </c>
      <c r="C110" s="28" t="s">
        <v>32</v>
      </c>
      <c r="D110" s="30" t="s">
        <v>33</v>
      </c>
      <c r="E110" s="31" t="s">
        <v>267</v>
      </c>
      <c r="F110" s="32" t="s">
        <v>274</v>
      </c>
      <c r="G110" s="30" t="s">
        <v>39</v>
      </c>
      <c r="H110" s="53"/>
      <c r="I110" s="34">
        <v>7852</v>
      </c>
      <c r="J110" s="34">
        <v>7851.9849999999997</v>
      </c>
      <c r="K110" s="34">
        <v>9830.6</v>
      </c>
      <c r="L110" s="34">
        <v>9830.5583999999999</v>
      </c>
      <c r="M110" s="34">
        <f t="shared" si="38"/>
        <v>9830.6</v>
      </c>
      <c r="N110" s="34">
        <f t="shared" si="39"/>
        <v>9830.5583999999999</v>
      </c>
      <c r="O110" s="34">
        <v>10000</v>
      </c>
      <c r="P110" s="34">
        <v>10000</v>
      </c>
      <c r="Q110" s="54"/>
      <c r="R110" s="14"/>
    </row>
    <row r="111" spans="1:18" ht="127.5" x14ac:dyDescent="0.25">
      <c r="A111" s="28" t="s">
        <v>275</v>
      </c>
      <c r="B111" s="29" t="s">
        <v>276</v>
      </c>
      <c r="C111" s="28" t="s">
        <v>32</v>
      </c>
      <c r="D111" s="30" t="s">
        <v>33</v>
      </c>
      <c r="E111" s="31" t="s">
        <v>34</v>
      </c>
      <c r="F111" s="32" t="s">
        <v>277</v>
      </c>
      <c r="G111" s="30" t="s">
        <v>39</v>
      </c>
      <c r="H111" s="53"/>
      <c r="I111" s="34">
        <v>4986.5</v>
      </c>
      <c r="J111" s="34">
        <v>4986.5280000000002</v>
      </c>
      <c r="K111" s="34">
        <v>5000</v>
      </c>
      <c r="L111" s="34">
        <f t="shared" ref="L111" si="40">K111</f>
        <v>5000</v>
      </c>
      <c r="M111" s="34">
        <f t="shared" si="38"/>
        <v>5000</v>
      </c>
      <c r="N111" s="34">
        <f t="shared" si="39"/>
        <v>5000</v>
      </c>
      <c r="O111" s="34">
        <v>5000</v>
      </c>
      <c r="P111" s="34">
        <v>5000</v>
      </c>
      <c r="Q111" s="54"/>
      <c r="R111" s="14"/>
    </row>
    <row r="112" spans="1:18" s="22" customFormat="1" x14ac:dyDescent="0.25">
      <c r="A112" s="16"/>
      <c r="B112" s="17" t="s">
        <v>278</v>
      </c>
      <c r="C112" s="16"/>
      <c r="D112" s="18"/>
      <c r="E112" s="19"/>
      <c r="F112" s="19"/>
      <c r="G112" s="19"/>
      <c r="H112" s="19"/>
      <c r="I112" s="20">
        <f>I114+I115</f>
        <v>7912720.1999999993</v>
      </c>
      <c r="J112" s="20">
        <f t="shared" ref="J112:P112" si="41">J114+J115</f>
        <v>8453619.7099600006</v>
      </c>
      <c r="K112" s="20">
        <f t="shared" si="41"/>
        <v>7638901.2196599972</v>
      </c>
      <c r="L112" s="20">
        <f t="shared" si="41"/>
        <v>7586088.6593820024</v>
      </c>
      <c r="M112" s="20">
        <f t="shared" si="41"/>
        <v>7638901.2196599972</v>
      </c>
      <c r="N112" s="20">
        <f t="shared" si="41"/>
        <v>7586088.6593820024</v>
      </c>
      <c r="O112" s="20">
        <f t="shared" si="41"/>
        <v>6502391.700000002</v>
      </c>
      <c r="P112" s="20">
        <f t="shared" si="41"/>
        <v>6489960.5999999987</v>
      </c>
      <c r="Q112" s="19"/>
      <c r="R112" s="14"/>
    </row>
    <row r="113" spans="1:18" s="6" customFormat="1" x14ac:dyDescent="0.25">
      <c r="A113" s="28"/>
      <c r="B113" s="72" t="s">
        <v>279</v>
      </c>
      <c r="C113" s="28"/>
      <c r="D113" s="53"/>
      <c r="E113" s="5"/>
      <c r="F113" s="5"/>
      <c r="G113" s="5"/>
      <c r="H113" s="5"/>
      <c r="I113" s="73"/>
      <c r="J113" s="73"/>
      <c r="K113" s="73"/>
      <c r="L113" s="73"/>
      <c r="M113" s="73"/>
      <c r="N113" s="73"/>
      <c r="O113" s="73"/>
      <c r="P113" s="73"/>
      <c r="Q113" s="5"/>
      <c r="R113" s="14"/>
    </row>
    <row r="114" spans="1:18" s="6" customFormat="1" ht="30" x14ac:dyDescent="0.25">
      <c r="A114" s="28"/>
      <c r="B114" s="28" t="s">
        <v>32</v>
      </c>
      <c r="C114" s="28"/>
      <c r="D114" s="53"/>
      <c r="E114" s="5"/>
      <c r="F114" s="5"/>
      <c r="G114" s="5"/>
      <c r="H114" s="5"/>
      <c r="I114" s="73">
        <f t="shared" ref="I114:P114" si="42">SUMIF($D$27:$D$111,121,I27:I111)</f>
        <v>7823593.2999999989</v>
      </c>
      <c r="J114" s="73">
        <f t="shared" si="42"/>
        <v>8365045.60996</v>
      </c>
      <c r="K114" s="73">
        <f t="shared" si="42"/>
        <v>7549774.3196599968</v>
      </c>
      <c r="L114" s="73">
        <f t="shared" si="42"/>
        <v>7496969.4750320027</v>
      </c>
      <c r="M114" s="73">
        <f t="shared" si="42"/>
        <v>7549774.3196599968</v>
      </c>
      <c r="N114" s="73">
        <f t="shared" si="42"/>
        <v>7496969.4750320027</v>
      </c>
      <c r="O114" s="73">
        <f t="shared" si="42"/>
        <v>6413264.8000000017</v>
      </c>
      <c r="P114" s="73">
        <f t="shared" si="42"/>
        <v>6400833.6999999983</v>
      </c>
      <c r="Q114" s="5"/>
      <c r="R114" s="14"/>
    </row>
    <row r="115" spans="1:18" s="6" customFormat="1" ht="30" x14ac:dyDescent="0.25">
      <c r="A115" s="28"/>
      <c r="B115" s="28" t="s">
        <v>110</v>
      </c>
      <c r="C115" s="28"/>
      <c r="D115" s="53"/>
      <c r="E115" s="5"/>
      <c r="F115" s="5"/>
      <c r="G115" s="5"/>
      <c r="H115" s="5"/>
      <c r="I115" s="73">
        <f t="shared" ref="I115:P115" si="43">SUMIF($D$27:$D$111,120,I27:I111)</f>
        <v>89126.9</v>
      </c>
      <c r="J115" s="73">
        <f t="shared" si="43"/>
        <v>88574.1</v>
      </c>
      <c r="K115" s="73">
        <f t="shared" si="43"/>
        <v>89126.9</v>
      </c>
      <c r="L115" s="73">
        <f t="shared" si="43"/>
        <v>89119.184349999996</v>
      </c>
      <c r="M115" s="73">
        <f t="shared" si="43"/>
        <v>89126.9</v>
      </c>
      <c r="N115" s="73">
        <f t="shared" si="43"/>
        <v>89119.184349999996</v>
      </c>
      <c r="O115" s="73">
        <f t="shared" si="43"/>
        <v>89126.9</v>
      </c>
      <c r="P115" s="73">
        <f t="shared" si="43"/>
        <v>89126.9</v>
      </c>
      <c r="Q115" s="5"/>
      <c r="R115" s="14"/>
    </row>
    <row r="116" spans="1:18" s="22" customFormat="1" x14ac:dyDescent="0.25">
      <c r="A116" s="16"/>
      <c r="B116" s="17" t="s">
        <v>280</v>
      </c>
      <c r="C116" s="16"/>
      <c r="D116" s="18"/>
      <c r="E116" s="19"/>
      <c r="F116" s="19"/>
      <c r="G116" s="19"/>
      <c r="H116" s="19"/>
      <c r="I116" s="20">
        <f>I117</f>
        <v>2425332.6</v>
      </c>
      <c r="J116" s="20">
        <f t="shared" ref="J116:P116" si="44">J117</f>
        <v>2403977.64958</v>
      </c>
      <c r="K116" s="20">
        <f t="shared" si="44"/>
        <v>2501695.6</v>
      </c>
      <c r="L116" s="20">
        <f t="shared" si="44"/>
        <v>2652168.8471099995</v>
      </c>
      <c r="M116" s="20">
        <f t="shared" si="44"/>
        <v>2501695.6</v>
      </c>
      <c r="N116" s="20">
        <f t="shared" si="44"/>
        <v>2652168.8471099995</v>
      </c>
      <c r="O116" s="20">
        <f t="shared" si="44"/>
        <v>2448600.1999999997</v>
      </c>
      <c r="P116" s="20">
        <f t="shared" si="44"/>
        <v>2449749.2000000002</v>
      </c>
      <c r="Q116" s="19"/>
      <c r="R116" s="14"/>
    </row>
    <row r="117" spans="1:18" ht="42.75" customHeight="1" thickBot="1" x14ac:dyDescent="0.3">
      <c r="A117" s="55" t="s">
        <v>281</v>
      </c>
      <c r="B117" s="153" t="s">
        <v>282</v>
      </c>
      <c r="C117" s="154"/>
      <c r="D117" s="74"/>
      <c r="E117" s="74"/>
      <c r="F117" s="75"/>
      <c r="G117" s="25"/>
      <c r="H117" s="25"/>
      <c r="I117" s="26">
        <f t="shared" ref="I117:J117" si="45">SUMIF($D$118:$D$150,121,I118:I150)+SUMIF($D$118:$D$150,120,I118:I150)+SUMIF($D$118:$D$150,69,I118:I150)+SUMIF($D$118:$D$150,382,I118:I150)</f>
        <v>2425332.6</v>
      </c>
      <c r="J117" s="26">
        <f t="shared" si="45"/>
        <v>2403977.64958</v>
      </c>
      <c r="K117" s="26">
        <f>SUMIF($D$118:$D$150,121,K118:K150)+SUMIF($D$118:$D$150,120,K118:K150)+SUMIF($D$118:$D$150,69,K118:K150)+SUMIF($D$118:$D$150,382,K118:K150)</f>
        <v>2501695.6</v>
      </c>
      <c r="L117" s="26">
        <f t="shared" ref="L117:P117" si="46">SUMIF($D$118:$D$150,121,L118:L150)+SUMIF($D$118:$D$150,120,L118:L150)+SUMIF($D$118:$D$150,69,L118:L150)+SUMIF($D$118:$D$150,382,L118:L150)</f>
        <v>2652168.8471099995</v>
      </c>
      <c r="M117" s="26">
        <f t="shared" si="46"/>
        <v>2501695.6</v>
      </c>
      <c r="N117" s="26">
        <f t="shared" si="46"/>
        <v>2652168.8471099995</v>
      </c>
      <c r="O117" s="26">
        <f t="shared" si="46"/>
        <v>2448600.1999999997</v>
      </c>
      <c r="P117" s="26">
        <f t="shared" si="46"/>
        <v>2449749.2000000002</v>
      </c>
      <c r="Q117" s="27"/>
      <c r="R117" s="14"/>
    </row>
    <row r="118" spans="1:18" s="6" customFormat="1" x14ac:dyDescent="0.25">
      <c r="A118" s="149" t="s">
        <v>283</v>
      </c>
      <c r="B118" s="149" t="s">
        <v>284</v>
      </c>
      <c r="C118" s="149" t="s">
        <v>32</v>
      </c>
      <c r="D118" s="174" t="s">
        <v>33</v>
      </c>
      <c r="E118" s="174" t="s">
        <v>34</v>
      </c>
      <c r="F118" s="174" t="s">
        <v>285</v>
      </c>
      <c r="G118" s="30"/>
      <c r="H118" s="5"/>
      <c r="I118" s="174">
        <v>326077.2</v>
      </c>
      <c r="J118" s="174">
        <v>321716.04554000002</v>
      </c>
      <c r="K118" s="95">
        <f>SUM(K119:K121)</f>
        <v>301116.5</v>
      </c>
      <c r="L118" s="104">
        <f>SUM(L119:L121)</f>
        <v>311093.36122999998</v>
      </c>
      <c r="M118" s="98">
        <f>SUM(M119:M121)</f>
        <v>301116.5</v>
      </c>
      <c r="N118" s="98">
        <f>SUM(N119:N121)</f>
        <v>311093.36122999998</v>
      </c>
      <c r="O118" s="174">
        <v>313580.79999999999</v>
      </c>
      <c r="P118" s="174">
        <v>313580.79999999999</v>
      </c>
      <c r="Q118" s="174"/>
      <c r="R118" s="14"/>
    </row>
    <row r="119" spans="1:18" s="6" customFormat="1" x14ac:dyDescent="0.25">
      <c r="A119" s="150"/>
      <c r="B119" s="150"/>
      <c r="C119" s="150"/>
      <c r="D119" s="175"/>
      <c r="E119" s="175"/>
      <c r="F119" s="175"/>
      <c r="G119" s="30" t="s">
        <v>111</v>
      </c>
      <c r="H119" s="99"/>
      <c r="I119" s="175"/>
      <c r="J119" s="175"/>
      <c r="K119" s="98">
        <v>280192.59999999998</v>
      </c>
      <c r="L119" s="51">
        <v>290378.57055</v>
      </c>
      <c r="M119" s="34">
        <f>K119</f>
        <v>280192.59999999998</v>
      </c>
      <c r="N119" s="34">
        <f>L119</f>
        <v>290378.57055</v>
      </c>
      <c r="O119" s="175"/>
      <c r="P119" s="175"/>
      <c r="Q119" s="175"/>
      <c r="R119" s="14"/>
    </row>
    <row r="120" spans="1:18" s="6" customFormat="1" x14ac:dyDescent="0.25">
      <c r="A120" s="150"/>
      <c r="B120" s="150"/>
      <c r="C120" s="150"/>
      <c r="D120" s="175"/>
      <c r="E120" s="175"/>
      <c r="F120" s="175"/>
      <c r="G120" s="30" t="s">
        <v>92</v>
      </c>
      <c r="H120" s="99"/>
      <c r="I120" s="175"/>
      <c r="J120" s="175"/>
      <c r="K120" s="98">
        <v>20886.900000000001</v>
      </c>
      <c r="L120" s="51">
        <f>20525.75783+174.28038</f>
        <v>20700.038209999999</v>
      </c>
      <c r="M120" s="34">
        <f t="shared" ref="M120:M121" si="47">K120</f>
        <v>20886.900000000001</v>
      </c>
      <c r="N120" s="34">
        <f t="shared" ref="N120:N121" si="48">L120</f>
        <v>20700.038209999999</v>
      </c>
      <c r="O120" s="175"/>
      <c r="P120" s="175"/>
      <c r="Q120" s="175"/>
      <c r="R120" s="14"/>
    </row>
    <row r="121" spans="1:18" s="6" customFormat="1" x14ac:dyDescent="0.25">
      <c r="A121" s="151"/>
      <c r="B121" s="151"/>
      <c r="C121" s="151"/>
      <c r="D121" s="176"/>
      <c r="E121" s="176"/>
      <c r="F121" s="176"/>
      <c r="G121" s="30" t="s">
        <v>222</v>
      </c>
      <c r="H121" s="99"/>
      <c r="I121" s="176"/>
      <c r="J121" s="176"/>
      <c r="K121" s="98">
        <v>37</v>
      </c>
      <c r="L121" s="51">
        <v>14.752470000000001</v>
      </c>
      <c r="M121" s="34">
        <f t="shared" si="47"/>
        <v>37</v>
      </c>
      <c r="N121" s="34">
        <f t="shared" si="48"/>
        <v>14.752470000000001</v>
      </c>
      <c r="O121" s="176"/>
      <c r="P121" s="176"/>
      <c r="Q121" s="176"/>
      <c r="R121" s="14"/>
    </row>
    <row r="122" spans="1:18" s="6" customFormat="1" ht="75" x14ac:dyDescent="0.25">
      <c r="A122" s="28" t="s">
        <v>286</v>
      </c>
      <c r="B122" s="29" t="s">
        <v>284</v>
      </c>
      <c r="C122" s="28" t="s">
        <v>287</v>
      </c>
      <c r="D122" s="30" t="s">
        <v>111</v>
      </c>
      <c r="E122" s="31" t="s">
        <v>34</v>
      </c>
      <c r="F122" s="32" t="s">
        <v>285</v>
      </c>
      <c r="G122" s="30" t="s">
        <v>288</v>
      </c>
      <c r="H122" s="5"/>
      <c r="I122" s="8">
        <v>80759.899999999994</v>
      </c>
      <c r="J122" s="8">
        <v>79928.3</v>
      </c>
      <c r="K122" s="95">
        <v>81376.3</v>
      </c>
      <c r="L122" s="51">
        <v>84970.087939999998</v>
      </c>
      <c r="M122" s="34">
        <f t="shared" ref="M122:M128" si="49">K122</f>
        <v>81376.3</v>
      </c>
      <c r="N122" s="34">
        <f t="shared" ref="N122:N128" si="50">L122</f>
        <v>84970.087939999998</v>
      </c>
      <c r="O122" s="8">
        <v>83065.600000000006</v>
      </c>
      <c r="P122" s="8">
        <v>83065.600000000006</v>
      </c>
      <c r="Q122" s="76"/>
      <c r="R122" s="14"/>
    </row>
    <row r="123" spans="1:18" s="6" customFormat="1" ht="105" x14ac:dyDescent="0.25">
      <c r="A123" s="28" t="s">
        <v>289</v>
      </c>
      <c r="B123" s="29" t="s">
        <v>284</v>
      </c>
      <c r="C123" s="28" t="s">
        <v>290</v>
      </c>
      <c r="D123" s="30" t="s">
        <v>291</v>
      </c>
      <c r="E123" s="31" t="s">
        <v>34</v>
      </c>
      <c r="F123" s="32" t="s">
        <v>285</v>
      </c>
      <c r="G123" s="30" t="s">
        <v>292</v>
      </c>
      <c r="H123" s="5"/>
      <c r="I123" s="8">
        <v>138627.1</v>
      </c>
      <c r="J123" s="8">
        <v>138814.29999999999</v>
      </c>
      <c r="K123" s="95">
        <v>143009</v>
      </c>
      <c r="L123" s="101">
        <v>149544.64000000001</v>
      </c>
      <c r="M123" s="34">
        <f t="shared" si="49"/>
        <v>143009</v>
      </c>
      <c r="N123" s="103">
        <f t="shared" si="50"/>
        <v>149544.64000000001</v>
      </c>
      <c r="O123" s="8">
        <v>143144.5</v>
      </c>
      <c r="P123" s="8">
        <v>140752.79999999999</v>
      </c>
      <c r="Q123" s="76"/>
      <c r="R123" s="14"/>
    </row>
    <row r="124" spans="1:18" s="6" customFormat="1" ht="105" x14ac:dyDescent="0.25">
      <c r="A124" s="28" t="s">
        <v>293</v>
      </c>
      <c r="B124" s="29" t="s">
        <v>294</v>
      </c>
      <c r="C124" s="28" t="s">
        <v>290</v>
      </c>
      <c r="D124" s="30" t="s">
        <v>291</v>
      </c>
      <c r="E124" s="31" t="s">
        <v>34</v>
      </c>
      <c r="F124" s="32" t="s">
        <v>295</v>
      </c>
      <c r="G124" s="30" t="s">
        <v>292</v>
      </c>
      <c r="H124" s="5"/>
      <c r="I124" s="8">
        <f>30209.7+9008.4</f>
        <v>39218.1</v>
      </c>
      <c r="J124" s="8">
        <f>30768.847+8744.553</f>
        <v>39513.4</v>
      </c>
      <c r="K124" s="95">
        <v>39231.4</v>
      </c>
      <c r="L124" s="101">
        <v>42423.199999999997</v>
      </c>
      <c r="M124" s="34">
        <f t="shared" si="49"/>
        <v>39231.4</v>
      </c>
      <c r="N124" s="34">
        <f t="shared" si="50"/>
        <v>42423.199999999997</v>
      </c>
      <c r="O124" s="8">
        <v>39231.4</v>
      </c>
      <c r="P124" s="8">
        <v>39231.4</v>
      </c>
      <c r="Q124" s="76"/>
      <c r="R124" s="14"/>
    </row>
    <row r="125" spans="1:18" s="6" customFormat="1" ht="75" x14ac:dyDescent="0.25">
      <c r="A125" s="28" t="s">
        <v>296</v>
      </c>
      <c r="B125" s="29" t="s">
        <v>294</v>
      </c>
      <c r="C125" s="28" t="s">
        <v>287</v>
      </c>
      <c r="D125" s="30" t="s">
        <v>111</v>
      </c>
      <c r="E125" s="31" t="s">
        <v>34</v>
      </c>
      <c r="F125" s="32" t="s">
        <v>295</v>
      </c>
      <c r="G125" s="30" t="s">
        <v>292</v>
      </c>
      <c r="H125" s="5"/>
      <c r="I125" s="8">
        <v>1253377.5</v>
      </c>
      <c r="J125" s="8">
        <v>1266145.3999999999</v>
      </c>
      <c r="K125" s="95">
        <v>1306650.6000000001</v>
      </c>
      <c r="L125" s="51">
        <v>1453959.4176400001</v>
      </c>
      <c r="M125" s="34">
        <f t="shared" si="49"/>
        <v>1306650.6000000001</v>
      </c>
      <c r="N125" s="34">
        <f t="shared" si="50"/>
        <v>1453959.4176400001</v>
      </c>
      <c r="O125" s="8">
        <v>1300170.8999999999</v>
      </c>
      <c r="P125" s="8">
        <v>1300170.8999999999</v>
      </c>
      <c r="Q125" s="76"/>
      <c r="R125" s="14"/>
    </row>
    <row r="126" spans="1:18" s="6" customFormat="1" ht="75" x14ac:dyDescent="0.25">
      <c r="A126" s="28" t="s">
        <v>297</v>
      </c>
      <c r="B126" s="29" t="s">
        <v>359</v>
      </c>
      <c r="C126" s="28" t="s">
        <v>287</v>
      </c>
      <c r="D126" s="30" t="s">
        <v>111</v>
      </c>
      <c r="E126" s="31" t="s">
        <v>34</v>
      </c>
      <c r="F126" s="32" t="s">
        <v>298</v>
      </c>
      <c r="G126" s="30" t="s">
        <v>292</v>
      </c>
      <c r="H126" s="5"/>
      <c r="I126" s="8">
        <v>314349.2</v>
      </c>
      <c r="J126" s="8">
        <v>290389.59999999998</v>
      </c>
      <c r="K126" s="95">
        <v>332117.3</v>
      </c>
      <c r="L126" s="51">
        <v>313933.58246000001</v>
      </c>
      <c r="M126" s="34">
        <f t="shared" si="49"/>
        <v>332117.3</v>
      </c>
      <c r="N126" s="34">
        <f t="shared" si="50"/>
        <v>313933.58246000001</v>
      </c>
      <c r="O126" s="8">
        <v>293667.3</v>
      </c>
      <c r="P126" s="8">
        <v>297179.59999999998</v>
      </c>
      <c r="Q126" s="76"/>
      <c r="R126" s="14"/>
    </row>
    <row r="127" spans="1:18" s="6" customFormat="1" ht="60" x14ac:dyDescent="0.25">
      <c r="A127" s="28" t="s">
        <v>299</v>
      </c>
      <c r="B127" s="29" t="s">
        <v>300</v>
      </c>
      <c r="C127" s="28" t="s">
        <v>287</v>
      </c>
      <c r="D127" s="30" t="s">
        <v>111</v>
      </c>
      <c r="E127" s="31" t="s">
        <v>34</v>
      </c>
      <c r="F127" s="32" t="s">
        <v>301</v>
      </c>
      <c r="G127" s="30" t="s">
        <v>92</v>
      </c>
      <c r="H127" s="5"/>
      <c r="I127" s="8">
        <v>659.3</v>
      </c>
      <c r="J127" s="8">
        <v>636.4</v>
      </c>
      <c r="K127" s="95">
        <v>654.9</v>
      </c>
      <c r="L127" s="51">
        <v>602.78585999999996</v>
      </c>
      <c r="M127" s="34">
        <f t="shared" si="49"/>
        <v>654.9</v>
      </c>
      <c r="N127" s="34">
        <f t="shared" si="50"/>
        <v>602.78585999999996</v>
      </c>
      <c r="O127" s="8">
        <v>717.2</v>
      </c>
      <c r="P127" s="8">
        <v>745.6</v>
      </c>
      <c r="Q127" s="76"/>
      <c r="R127" s="14"/>
    </row>
    <row r="128" spans="1:18" s="6" customFormat="1" ht="102" x14ac:dyDescent="0.25">
      <c r="A128" s="28" t="s">
        <v>302</v>
      </c>
      <c r="B128" s="29" t="s">
        <v>303</v>
      </c>
      <c r="C128" s="28" t="s">
        <v>32</v>
      </c>
      <c r="D128" s="30" t="s">
        <v>33</v>
      </c>
      <c r="E128" s="31" t="s">
        <v>34</v>
      </c>
      <c r="F128" s="32" t="s">
        <v>304</v>
      </c>
      <c r="G128" s="5">
        <v>530</v>
      </c>
      <c r="H128" s="5"/>
      <c r="I128" s="8">
        <v>179917.4</v>
      </c>
      <c r="J128" s="8">
        <v>178352.87450999999</v>
      </c>
      <c r="K128" s="95">
        <v>200362.8</v>
      </c>
      <c r="L128" s="51">
        <v>198797.7347</v>
      </c>
      <c r="M128" s="34">
        <f t="shared" si="49"/>
        <v>200362.8</v>
      </c>
      <c r="N128" s="34">
        <f t="shared" si="50"/>
        <v>198797.7347</v>
      </c>
      <c r="O128" s="8">
        <v>185751.9</v>
      </c>
      <c r="P128" s="8">
        <v>185751.9</v>
      </c>
      <c r="Q128" s="76"/>
      <c r="R128" s="14"/>
    </row>
    <row r="129" spans="1:18" s="6" customFormat="1" ht="89.25" x14ac:dyDescent="0.25">
      <c r="A129" s="28" t="s">
        <v>305</v>
      </c>
      <c r="B129" s="29" t="s">
        <v>306</v>
      </c>
      <c r="C129" s="28" t="s">
        <v>32</v>
      </c>
      <c r="D129" s="30" t="s">
        <v>33</v>
      </c>
      <c r="E129" s="31" t="s">
        <v>34</v>
      </c>
      <c r="F129" s="32" t="s">
        <v>307</v>
      </c>
      <c r="G129" s="5" t="s">
        <v>308</v>
      </c>
      <c r="H129" s="5"/>
      <c r="I129" s="8">
        <f>40622.1+41197.2</f>
        <v>81819.299999999988</v>
      </c>
      <c r="J129" s="8">
        <f>38283.00756+41107.2</f>
        <v>79390.207559999995</v>
      </c>
      <c r="K129" s="98">
        <f t="shared" ref="K129:P129" si="51">SUM(K131:K139)</f>
        <v>85700.5</v>
      </c>
      <c r="L129" s="100">
        <f t="shared" si="51"/>
        <v>85700.351770000008</v>
      </c>
      <c r="M129" s="98">
        <f t="shared" si="51"/>
        <v>85700.5</v>
      </c>
      <c r="N129" s="98">
        <f t="shared" si="51"/>
        <v>85700.351770000008</v>
      </c>
      <c r="O129" s="97">
        <f t="shared" si="51"/>
        <v>78486.100000000006</v>
      </c>
      <c r="P129" s="97">
        <f t="shared" si="51"/>
        <v>78486.100000000006</v>
      </c>
      <c r="Q129" s="97"/>
      <c r="R129" s="14"/>
    </row>
    <row r="130" spans="1:18" s="6" customFormat="1" x14ac:dyDescent="0.25">
      <c r="A130" s="28"/>
      <c r="B130" s="29" t="s">
        <v>279</v>
      </c>
      <c r="C130" s="28"/>
      <c r="D130" s="30"/>
      <c r="E130" s="31"/>
      <c r="F130" s="32"/>
      <c r="G130" s="5"/>
      <c r="H130" s="5"/>
      <c r="I130" s="8"/>
      <c r="J130" s="8"/>
      <c r="K130" s="95"/>
      <c r="L130" s="95"/>
      <c r="M130" s="8"/>
      <c r="N130" s="8"/>
      <c r="O130" s="8"/>
      <c r="P130" s="8"/>
      <c r="Q130" s="76"/>
      <c r="R130" s="14"/>
    </row>
    <row r="131" spans="1:18" s="6" customFormat="1" ht="25.5" x14ac:dyDescent="0.25">
      <c r="A131" s="77" t="s">
        <v>309</v>
      </c>
      <c r="B131" s="29" t="s">
        <v>310</v>
      </c>
      <c r="C131" s="28"/>
      <c r="D131" s="30"/>
      <c r="E131" s="31"/>
      <c r="F131" s="32"/>
      <c r="G131" s="5"/>
      <c r="H131" s="5"/>
      <c r="I131" s="8"/>
      <c r="J131" s="8"/>
      <c r="K131" s="95"/>
      <c r="L131" s="34">
        <f t="shared" ref="L131" si="52">K131</f>
        <v>0</v>
      </c>
      <c r="M131" s="34">
        <f t="shared" ref="M131" si="53">K131</f>
        <v>0</v>
      </c>
      <c r="N131" s="34">
        <f t="shared" ref="N131" si="54">L131</f>
        <v>0</v>
      </c>
      <c r="O131" s="8">
        <v>4994.8</v>
      </c>
      <c r="P131" s="8">
        <v>4994.8</v>
      </c>
      <c r="Q131" s="76"/>
      <c r="R131" s="14"/>
    </row>
    <row r="132" spans="1:18" s="6" customFormat="1" ht="38.25" x14ac:dyDescent="0.25">
      <c r="A132" s="77" t="s">
        <v>311</v>
      </c>
      <c r="B132" s="29" t="s">
        <v>312</v>
      </c>
      <c r="C132" s="28"/>
      <c r="D132" s="53"/>
      <c r="E132" s="5"/>
      <c r="F132" s="5"/>
      <c r="G132" s="5"/>
      <c r="H132" s="5"/>
      <c r="I132" s="8"/>
      <c r="J132" s="8"/>
      <c r="K132" s="95">
        <v>900</v>
      </c>
      <c r="L132" s="51">
        <f t="shared" ref="L132:L134" si="55">K132</f>
        <v>900</v>
      </c>
      <c r="M132" s="34">
        <f t="shared" ref="M132:M136" si="56">K132</f>
        <v>900</v>
      </c>
      <c r="N132" s="34">
        <f t="shared" ref="N132:N136" si="57">L132</f>
        <v>900</v>
      </c>
      <c r="O132" s="8">
        <v>900</v>
      </c>
      <c r="P132" s="8">
        <v>900</v>
      </c>
      <c r="Q132" s="76"/>
      <c r="R132" s="14"/>
    </row>
    <row r="133" spans="1:18" s="6" customFormat="1" ht="38.25" x14ac:dyDescent="0.25">
      <c r="A133" s="77" t="s">
        <v>313</v>
      </c>
      <c r="B133" s="29" t="s">
        <v>315</v>
      </c>
      <c r="C133" s="28"/>
      <c r="D133" s="53"/>
      <c r="E133" s="5"/>
      <c r="F133" s="5"/>
      <c r="G133" s="5"/>
      <c r="H133" s="5"/>
      <c r="I133" s="8"/>
      <c r="J133" s="8"/>
      <c r="K133" s="95">
        <v>1749.7</v>
      </c>
      <c r="L133" s="51">
        <v>1749.6666700000001</v>
      </c>
      <c r="M133" s="34">
        <f t="shared" si="56"/>
        <v>1749.7</v>
      </c>
      <c r="N133" s="34">
        <f t="shared" si="57"/>
        <v>1749.6666700000001</v>
      </c>
      <c r="O133" s="8">
        <v>1750</v>
      </c>
      <c r="P133" s="8">
        <v>1750</v>
      </c>
      <c r="Q133" s="76"/>
      <c r="R133" s="14"/>
    </row>
    <row r="134" spans="1:18" s="6" customFormat="1" ht="51" x14ac:dyDescent="0.25">
      <c r="A134" s="77" t="s">
        <v>314</v>
      </c>
      <c r="B134" s="29" t="s">
        <v>317</v>
      </c>
      <c r="C134" s="28"/>
      <c r="D134" s="53"/>
      <c r="E134" s="5"/>
      <c r="F134" s="5"/>
      <c r="G134" s="5"/>
      <c r="H134" s="5"/>
      <c r="I134" s="8"/>
      <c r="J134" s="8"/>
      <c r="K134" s="95"/>
      <c r="L134" s="51">
        <f t="shared" si="55"/>
        <v>0</v>
      </c>
      <c r="M134" s="34">
        <f t="shared" si="56"/>
        <v>0</v>
      </c>
      <c r="N134" s="34">
        <f t="shared" si="57"/>
        <v>0</v>
      </c>
      <c r="O134" s="8">
        <v>740</v>
      </c>
      <c r="P134" s="8"/>
      <c r="Q134" s="76"/>
      <c r="R134" s="14"/>
    </row>
    <row r="135" spans="1:18" s="6" customFormat="1" ht="89.25" x14ac:dyDescent="0.25">
      <c r="A135" s="77" t="s">
        <v>316</v>
      </c>
      <c r="B135" s="29" t="s">
        <v>356</v>
      </c>
      <c r="C135" s="28"/>
      <c r="D135" s="53"/>
      <c r="E135" s="5"/>
      <c r="F135" s="5"/>
      <c r="G135" s="5"/>
      <c r="H135" s="5"/>
      <c r="I135" s="8"/>
      <c r="J135" s="8"/>
      <c r="K135" s="95">
        <v>13663.6</v>
      </c>
      <c r="L135" s="51">
        <f>13663.55162</f>
        <v>13663.55162</v>
      </c>
      <c r="M135" s="34">
        <f t="shared" si="56"/>
        <v>13663.6</v>
      </c>
      <c r="N135" s="34">
        <f t="shared" si="57"/>
        <v>13663.55162</v>
      </c>
      <c r="O135" s="8">
        <v>13270</v>
      </c>
      <c r="P135" s="8">
        <v>13270</v>
      </c>
      <c r="Q135" s="76"/>
      <c r="R135" s="14"/>
    </row>
    <row r="136" spans="1:18" s="6" customFormat="1" ht="51" x14ac:dyDescent="0.25">
      <c r="A136" s="77" t="s">
        <v>318</v>
      </c>
      <c r="B136" s="29" t="s">
        <v>320</v>
      </c>
      <c r="C136" s="28"/>
      <c r="D136" s="53"/>
      <c r="E136" s="5"/>
      <c r="F136" s="5"/>
      <c r="G136" s="5"/>
      <c r="H136" s="5"/>
      <c r="I136" s="8"/>
      <c r="J136" s="8"/>
      <c r="K136" s="95">
        <v>687.6</v>
      </c>
      <c r="L136" s="51">
        <f>340+347.6</f>
        <v>687.6</v>
      </c>
      <c r="M136" s="34">
        <f t="shared" si="56"/>
        <v>687.6</v>
      </c>
      <c r="N136" s="34">
        <f t="shared" si="57"/>
        <v>687.6</v>
      </c>
      <c r="O136" s="8"/>
      <c r="P136" s="8">
        <v>692.6</v>
      </c>
      <c r="Q136" s="76"/>
      <c r="R136" s="14"/>
    </row>
    <row r="137" spans="1:18" s="6" customFormat="1" ht="51" x14ac:dyDescent="0.25">
      <c r="A137" s="77" t="s">
        <v>319</v>
      </c>
      <c r="B137" s="29" t="s">
        <v>322</v>
      </c>
      <c r="C137" s="28"/>
      <c r="D137" s="53"/>
      <c r="E137" s="5"/>
      <c r="F137" s="5"/>
      <c r="G137" s="5"/>
      <c r="H137" s="5"/>
      <c r="I137" s="8"/>
      <c r="J137" s="8"/>
      <c r="K137" s="95">
        <v>3299.3</v>
      </c>
      <c r="L137" s="51">
        <f>711.23333+2588.0694</f>
        <v>3299.3027299999999</v>
      </c>
      <c r="M137" s="34">
        <f t="shared" ref="M137:M138" si="58">K137</f>
        <v>3299.3</v>
      </c>
      <c r="N137" s="34">
        <f t="shared" ref="N137:N138" si="59">L137</f>
        <v>3299.3027299999999</v>
      </c>
      <c r="O137" s="8">
        <v>2966.7</v>
      </c>
      <c r="P137" s="8">
        <v>2966.7</v>
      </c>
      <c r="Q137" s="76"/>
      <c r="R137" s="14"/>
    </row>
    <row r="138" spans="1:18" s="6" customFormat="1" ht="114.75" x14ac:dyDescent="0.25">
      <c r="A138" s="77" t="s">
        <v>321</v>
      </c>
      <c r="B138" s="29" t="s">
        <v>324</v>
      </c>
      <c r="C138" s="28"/>
      <c r="D138" s="53"/>
      <c r="E138" s="5"/>
      <c r="F138" s="5"/>
      <c r="G138" s="5"/>
      <c r="H138" s="5"/>
      <c r="I138" s="8"/>
      <c r="J138" s="8"/>
      <c r="K138" s="95">
        <v>64900.3</v>
      </c>
      <c r="L138" s="51">
        <v>64900.230750000002</v>
      </c>
      <c r="M138" s="34">
        <f t="shared" si="58"/>
        <v>64900.3</v>
      </c>
      <c r="N138" s="34">
        <f t="shared" si="59"/>
        <v>64900.230750000002</v>
      </c>
      <c r="O138" s="8">
        <v>53864.6</v>
      </c>
      <c r="P138" s="8">
        <v>53912</v>
      </c>
      <c r="Q138" s="76"/>
      <c r="R138" s="14"/>
    </row>
    <row r="139" spans="1:18" s="6" customFormat="1" ht="25.5" x14ac:dyDescent="0.25">
      <c r="A139" s="77" t="s">
        <v>323</v>
      </c>
      <c r="B139" s="29" t="s">
        <v>325</v>
      </c>
      <c r="C139" s="28"/>
      <c r="D139" s="53"/>
      <c r="E139" s="5"/>
      <c r="F139" s="5"/>
      <c r="G139" s="5"/>
      <c r="H139" s="5"/>
      <c r="I139" s="8"/>
      <c r="J139" s="8"/>
      <c r="K139" s="95">
        <v>500</v>
      </c>
      <c r="L139" s="51">
        <f t="shared" ref="L139:L141" si="60">K139</f>
        <v>500</v>
      </c>
      <c r="M139" s="34">
        <f t="shared" ref="M139:M141" si="61">K139</f>
        <v>500</v>
      </c>
      <c r="N139" s="34">
        <f t="shared" ref="N139:N141" si="62">L139</f>
        <v>500</v>
      </c>
      <c r="O139" s="8"/>
      <c r="P139" s="8"/>
      <c r="Q139" s="76"/>
      <c r="R139" s="14"/>
    </row>
    <row r="140" spans="1:18" s="6" customFormat="1" ht="51" x14ac:dyDescent="0.25">
      <c r="A140" s="77"/>
      <c r="B140" s="29" t="s">
        <v>327</v>
      </c>
      <c r="C140" s="28" t="s">
        <v>32</v>
      </c>
      <c r="D140" s="30" t="s">
        <v>33</v>
      </c>
      <c r="E140" s="31" t="s">
        <v>330</v>
      </c>
      <c r="F140" s="32" t="s">
        <v>331</v>
      </c>
      <c r="G140" s="5" t="s">
        <v>308</v>
      </c>
      <c r="H140" s="5"/>
      <c r="I140" s="8">
        <v>2806.5</v>
      </c>
      <c r="J140" s="8">
        <v>2564.8290000000002</v>
      </c>
      <c r="K140" s="95"/>
      <c r="L140" s="51">
        <f t="shared" si="60"/>
        <v>0</v>
      </c>
      <c r="M140" s="34">
        <f t="shared" si="61"/>
        <v>0</v>
      </c>
      <c r="N140" s="34">
        <f t="shared" si="62"/>
        <v>0</v>
      </c>
      <c r="O140" s="8"/>
      <c r="P140" s="8"/>
      <c r="Q140" s="76"/>
      <c r="R140" s="14"/>
    </row>
    <row r="141" spans="1:18" s="6" customFormat="1" ht="60" x14ac:dyDescent="0.25">
      <c r="A141" s="28" t="s">
        <v>326</v>
      </c>
      <c r="B141" s="29" t="s">
        <v>327</v>
      </c>
      <c r="C141" s="28" t="s">
        <v>328</v>
      </c>
      <c r="D141" s="30" t="s">
        <v>329</v>
      </c>
      <c r="E141" s="31" t="s">
        <v>330</v>
      </c>
      <c r="F141" s="32" t="s">
        <v>331</v>
      </c>
      <c r="G141" s="5" t="s">
        <v>308</v>
      </c>
      <c r="H141" s="5"/>
      <c r="I141" s="8"/>
      <c r="J141" s="8"/>
      <c r="K141" s="95">
        <v>3130.5</v>
      </c>
      <c r="L141" s="34">
        <f t="shared" si="60"/>
        <v>3130.5</v>
      </c>
      <c r="M141" s="34">
        <f t="shared" si="61"/>
        <v>3130.5</v>
      </c>
      <c r="N141" s="34">
        <f t="shared" si="62"/>
        <v>3130.5</v>
      </c>
      <c r="O141" s="8">
        <v>3648</v>
      </c>
      <c r="P141" s="8">
        <v>3648</v>
      </c>
      <c r="Q141" s="76"/>
      <c r="R141" s="14"/>
    </row>
    <row r="142" spans="1:18" s="6" customFormat="1" ht="114.75" x14ac:dyDescent="0.25">
      <c r="A142" s="28" t="s">
        <v>332</v>
      </c>
      <c r="B142" s="29" t="s">
        <v>333</v>
      </c>
      <c r="C142" s="28" t="s">
        <v>32</v>
      </c>
      <c r="D142" s="30" t="s">
        <v>33</v>
      </c>
      <c r="E142" s="31" t="s">
        <v>34</v>
      </c>
      <c r="F142" s="32" t="s">
        <v>334</v>
      </c>
      <c r="G142" s="5" t="s">
        <v>308</v>
      </c>
      <c r="H142" s="5"/>
      <c r="I142" s="8">
        <v>4023.2</v>
      </c>
      <c r="J142" s="8">
        <v>3872.2417999999998</v>
      </c>
      <c r="K142" s="102">
        <f t="shared" ref="K142:L142" si="63">SUM(K144:K145)</f>
        <v>4208.6000000000004</v>
      </c>
      <c r="L142" s="102">
        <f t="shared" si="63"/>
        <v>4160.8258000000005</v>
      </c>
      <c r="M142" s="8">
        <f>SUM(M144:M145)</f>
        <v>4208.6000000000004</v>
      </c>
      <c r="N142" s="102">
        <f t="shared" ref="N142:P142" si="64">SUM(N144:N145)</f>
        <v>4160.8258000000005</v>
      </c>
      <c r="O142" s="8">
        <f t="shared" si="64"/>
        <v>4716.5</v>
      </c>
      <c r="P142" s="8">
        <f t="shared" si="64"/>
        <v>4716.5</v>
      </c>
      <c r="Q142" s="76"/>
      <c r="R142" s="14"/>
    </row>
    <row r="143" spans="1:18" s="6" customFormat="1" ht="18.75" customHeight="1" x14ac:dyDescent="0.25">
      <c r="A143" s="77"/>
      <c r="B143" s="29" t="s">
        <v>335</v>
      </c>
      <c r="C143" s="28"/>
      <c r="D143" s="53"/>
      <c r="E143" s="5"/>
      <c r="F143" s="5"/>
      <c r="G143" s="5"/>
      <c r="H143" s="5"/>
      <c r="I143" s="8"/>
      <c r="J143" s="8"/>
      <c r="K143" s="95"/>
      <c r="L143" s="95"/>
      <c r="M143" s="8"/>
      <c r="N143" s="8"/>
      <c r="O143" s="8"/>
      <c r="P143" s="8"/>
      <c r="Q143" s="76"/>
      <c r="R143" s="14"/>
    </row>
    <row r="144" spans="1:18" s="6" customFormat="1" ht="76.5" x14ac:dyDescent="0.25">
      <c r="A144" s="28" t="s">
        <v>336</v>
      </c>
      <c r="B144" s="29" t="s">
        <v>337</v>
      </c>
      <c r="C144" s="28"/>
      <c r="D144" s="53"/>
      <c r="E144" s="5"/>
      <c r="F144" s="5"/>
      <c r="G144" s="5"/>
      <c r="H144" s="5"/>
      <c r="I144" s="8"/>
      <c r="J144" s="8"/>
      <c r="K144" s="95">
        <v>915</v>
      </c>
      <c r="L144" s="34">
        <f>188+715</f>
        <v>903</v>
      </c>
      <c r="M144" s="34">
        <f t="shared" ref="M144" si="65">K144</f>
        <v>915</v>
      </c>
      <c r="N144" s="34">
        <f t="shared" ref="N144" si="66">L144</f>
        <v>903</v>
      </c>
      <c r="O144" s="8">
        <v>915</v>
      </c>
      <c r="P144" s="8">
        <v>915</v>
      </c>
      <c r="Q144" s="76"/>
      <c r="R144" s="14"/>
    </row>
    <row r="145" spans="1:18" s="6" customFormat="1" ht="51" x14ac:dyDescent="0.25">
      <c r="A145" s="28" t="s">
        <v>338</v>
      </c>
      <c r="B145" s="29" t="s">
        <v>339</v>
      </c>
      <c r="C145" s="28"/>
      <c r="D145" s="53"/>
      <c r="E145" s="5"/>
      <c r="F145" s="5"/>
      <c r="G145" s="5"/>
      <c r="H145" s="5"/>
      <c r="I145" s="8"/>
      <c r="J145" s="8"/>
      <c r="K145" s="95">
        <v>3293.6</v>
      </c>
      <c r="L145" s="34">
        <v>3257.8258000000001</v>
      </c>
      <c r="M145" s="34">
        <f t="shared" ref="M145:M150" si="67">K145</f>
        <v>3293.6</v>
      </c>
      <c r="N145" s="34">
        <f t="shared" ref="N145:N150" si="68">L145</f>
        <v>3257.8258000000001</v>
      </c>
      <c r="O145" s="8">
        <v>3801.5</v>
      </c>
      <c r="P145" s="8">
        <v>3801.5</v>
      </c>
      <c r="Q145" s="76"/>
      <c r="R145" s="14"/>
    </row>
    <row r="146" spans="1:18" s="6" customFormat="1" ht="51" x14ac:dyDescent="0.25">
      <c r="A146" s="28"/>
      <c r="B146" s="29" t="s">
        <v>341</v>
      </c>
      <c r="C146" s="28" t="s">
        <v>32</v>
      </c>
      <c r="D146" s="30" t="s">
        <v>33</v>
      </c>
      <c r="E146" s="31" t="s">
        <v>330</v>
      </c>
      <c r="F146" s="32" t="s">
        <v>342</v>
      </c>
      <c r="G146" s="5">
        <v>240</v>
      </c>
      <c r="H146" s="5"/>
      <c r="I146" s="8">
        <v>661.9</v>
      </c>
      <c r="J146" s="8">
        <v>661.84073000000001</v>
      </c>
      <c r="K146" s="95"/>
      <c r="L146" s="34">
        <f t="shared" ref="L146:L150" si="69">K146</f>
        <v>0</v>
      </c>
      <c r="M146" s="34">
        <f t="shared" si="67"/>
        <v>0</v>
      </c>
      <c r="N146" s="34">
        <f t="shared" si="68"/>
        <v>0</v>
      </c>
      <c r="O146" s="8"/>
      <c r="P146" s="8"/>
      <c r="Q146" s="76"/>
      <c r="R146" s="14"/>
    </row>
    <row r="147" spans="1:18" s="6" customFormat="1" ht="60" x14ac:dyDescent="0.25">
      <c r="A147" s="28" t="s">
        <v>340</v>
      </c>
      <c r="B147" s="29" t="s">
        <v>341</v>
      </c>
      <c r="C147" s="28" t="s">
        <v>328</v>
      </c>
      <c r="D147" s="30" t="s">
        <v>329</v>
      </c>
      <c r="E147" s="31" t="s">
        <v>330</v>
      </c>
      <c r="F147" s="32" t="s">
        <v>342</v>
      </c>
      <c r="G147" s="5">
        <v>240</v>
      </c>
      <c r="H147" s="5"/>
      <c r="I147" s="8"/>
      <c r="J147" s="8"/>
      <c r="K147" s="95">
        <v>681.7</v>
      </c>
      <c r="L147" s="34">
        <f>681.7-0.08929</f>
        <v>681.61071000000004</v>
      </c>
      <c r="M147" s="34">
        <f t="shared" si="67"/>
        <v>681.7</v>
      </c>
      <c r="N147" s="34">
        <f>L147</f>
        <v>681.61071000000004</v>
      </c>
      <c r="O147" s="8">
        <v>820</v>
      </c>
      <c r="P147" s="8">
        <v>820</v>
      </c>
      <c r="Q147" s="76"/>
      <c r="R147" s="14"/>
    </row>
    <row r="148" spans="1:18" s="6" customFormat="1" ht="76.5" x14ac:dyDescent="0.25">
      <c r="A148" s="28" t="s">
        <v>343</v>
      </c>
      <c r="B148" s="29" t="s">
        <v>344</v>
      </c>
      <c r="C148" s="28" t="s">
        <v>32</v>
      </c>
      <c r="D148" s="30" t="s">
        <v>33</v>
      </c>
      <c r="E148" s="31" t="s">
        <v>34</v>
      </c>
      <c r="F148" s="32" t="s">
        <v>345</v>
      </c>
      <c r="G148" s="5">
        <v>810</v>
      </c>
      <c r="H148" s="5"/>
      <c r="I148" s="8">
        <v>1600</v>
      </c>
      <c r="J148" s="8">
        <v>604.03844000000004</v>
      </c>
      <c r="K148" s="95">
        <v>1500</v>
      </c>
      <c r="L148" s="34">
        <v>1215.279</v>
      </c>
      <c r="M148" s="34">
        <f t="shared" si="67"/>
        <v>1500</v>
      </c>
      <c r="N148" s="34">
        <f t="shared" si="68"/>
        <v>1215.279</v>
      </c>
      <c r="O148" s="8">
        <v>1600</v>
      </c>
      <c r="P148" s="8">
        <v>1600</v>
      </c>
      <c r="Q148" s="76"/>
      <c r="R148" s="14"/>
    </row>
    <row r="149" spans="1:18" s="6" customFormat="1" ht="63.75" x14ac:dyDescent="0.25">
      <c r="A149" s="28" t="s">
        <v>346</v>
      </c>
      <c r="B149" s="29" t="s">
        <v>347</v>
      </c>
      <c r="C149" s="28" t="s">
        <v>32</v>
      </c>
      <c r="D149" s="30" t="s">
        <v>33</v>
      </c>
      <c r="E149" s="31" t="s">
        <v>330</v>
      </c>
      <c r="F149" s="32" t="s">
        <v>348</v>
      </c>
      <c r="G149" s="5">
        <v>350</v>
      </c>
      <c r="H149" s="5"/>
      <c r="I149" s="8">
        <v>1436</v>
      </c>
      <c r="J149" s="8">
        <v>1388.172</v>
      </c>
      <c r="K149" s="95">
        <v>1543.8</v>
      </c>
      <c r="L149" s="34">
        <v>1543.77</v>
      </c>
      <c r="M149" s="34">
        <f t="shared" si="67"/>
        <v>1543.8</v>
      </c>
      <c r="N149" s="34">
        <f t="shared" si="68"/>
        <v>1543.77</v>
      </c>
      <c r="O149" s="8"/>
      <c r="P149" s="8"/>
      <c r="Q149" s="76"/>
      <c r="R149" s="14"/>
    </row>
    <row r="150" spans="1:18" s="6" customFormat="1" ht="63.75" x14ac:dyDescent="0.25">
      <c r="A150" s="28" t="s">
        <v>349</v>
      </c>
      <c r="B150" s="29" t="s">
        <v>347</v>
      </c>
      <c r="C150" s="28" t="s">
        <v>328</v>
      </c>
      <c r="D150" s="30" t="s">
        <v>329</v>
      </c>
      <c r="E150" s="31" t="s">
        <v>330</v>
      </c>
      <c r="F150" s="32" t="s">
        <v>348</v>
      </c>
      <c r="G150" s="5">
        <v>350</v>
      </c>
      <c r="H150" s="5"/>
      <c r="I150" s="8"/>
      <c r="J150" s="8"/>
      <c r="K150" s="95">
        <v>411.7</v>
      </c>
      <c r="L150" s="34">
        <f t="shared" si="69"/>
        <v>411.7</v>
      </c>
      <c r="M150" s="34">
        <f t="shared" si="67"/>
        <v>411.7</v>
      </c>
      <c r="N150" s="34">
        <f t="shared" si="68"/>
        <v>411.7</v>
      </c>
      <c r="O150" s="8"/>
      <c r="P150" s="8"/>
      <c r="Q150" s="76"/>
      <c r="R150" s="14"/>
    </row>
    <row r="151" spans="1:18" s="22" customFormat="1" ht="18.75" customHeight="1" x14ac:dyDescent="0.25">
      <c r="A151" s="16"/>
      <c r="B151" s="17" t="s">
        <v>350</v>
      </c>
      <c r="C151" s="16"/>
      <c r="D151" s="18"/>
      <c r="E151" s="19"/>
      <c r="F151" s="19"/>
      <c r="G151" s="19"/>
      <c r="H151" s="19"/>
      <c r="I151" s="20">
        <f>I153+I154+I155+I156</f>
        <v>2425332.6</v>
      </c>
      <c r="J151" s="20">
        <f t="shared" ref="J151:P151" si="70">J153+J154+J155+J156</f>
        <v>2403977.64958</v>
      </c>
      <c r="K151" s="20">
        <f t="shared" si="70"/>
        <v>2501695.6</v>
      </c>
      <c r="L151" s="20">
        <f t="shared" si="70"/>
        <v>2652168.8471099995</v>
      </c>
      <c r="M151" s="20">
        <f t="shared" si="70"/>
        <v>2501695.6</v>
      </c>
      <c r="N151" s="20">
        <f t="shared" si="70"/>
        <v>2652168.8471099995</v>
      </c>
      <c r="O151" s="20">
        <f t="shared" si="70"/>
        <v>2448600.1999999997</v>
      </c>
      <c r="P151" s="20">
        <f t="shared" si="70"/>
        <v>2449749.2000000002</v>
      </c>
      <c r="Q151" s="19"/>
      <c r="R151" s="14"/>
    </row>
    <row r="152" spans="1:18" s="6" customFormat="1" ht="18.75" customHeight="1" x14ac:dyDescent="0.25">
      <c r="A152" s="28"/>
      <c r="B152" s="72" t="s">
        <v>279</v>
      </c>
      <c r="C152" s="28"/>
      <c r="D152" s="53"/>
      <c r="E152" s="5"/>
      <c r="F152" s="5"/>
      <c r="G152" s="5"/>
      <c r="H152" s="5"/>
      <c r="I152" s="73"/>
      <c r="J152" s="73"/>
      <c r="K152" s="73"/>
      <c r="L152" s="73"/>
      <c r="M152" s="73"/>
      <c r="N152" s="73"/>
      <c r="O152" s="73"/>
      <c r="P152" s="73"/>
      <c r="Q152" s="5"/>
      <c r="R152" s="14"/>
    </row>
    <row r="153" spans="1:18" s="6" customFormat="1" ht="30" x14ac:dyDescent="0.25">
      <c r="A153" s="28"/>
      <c r="B153" s="28" t="s">
        <v>32</v>
      </c>
      <c r="C153" s="28"/>
      <c r="D153" s="53" t="s">
        <v>33</v>
      </c>
      <c r="E153" s="5"/>
      <c r="F153" s="5"/>
      <c r="G153" s="5"/>
      <c r="H153" s="5"/>
      <c r="I153" s="73">
        <f t="shared" ref="I153:P153" si="71">SUMIF($D$118:$D$150,121,I118:I150)</f>
        <v>598341.49999999988</v>
      </c>
      <c r="J153" s="73">
        <f t="shared" si="71"/>
        <v>588550.24958000006</v>
      </c>
      <c r="K153" s="73">
        <f t="shared" si="71"/>
        <v>594432.20000000007</v>
      </c>
      <c r="L153" s="73">
        <f t="shared" si="71"/>
        <v>602511.32249999989</v>
      </c>
      <c r="M153" s="73">
        <f t="shared" si="71"/>
        <v>594432.20000000007</v>
      </c>
      <c r="N153" s="73">
        <f t="shared" si="71"/>
        <v>602511.32249999989</v>
      </c>
      <c r="O153" s="73">
        <f t="shared" si="71"/>
        <v>584135.29999999993</v>
      </c>
      <c r="P153" s="73">
        <f t="shared" si="71"/>
        <v>584135.29999999993</v>
      </c>
      <c r="Q153" s="5"/>
      <c r="R153" s="14"/>
    </row>
    <row r="154" spans="1:18" s="6" customFormat="1" ht="30" x14ac:dyDescent="0.25">
      <c r="A154" s="28"/>
      <c r="B154" s="28" t="s">
        <v>110</v>
      </c>
      <c r="C154" s="28"/>
      <c r="D154" s="53" t="s">
        <v>111</v>
      </c>
      <c r="E154" s="5"/>
      <c r="F154" s="5"/>
      <c r="G154" s="5"/>
      <c r="H154" s="5"/>
      <c r="I154" s="73">
        <f t="shared" ref="I154:P154" si="72">SUMIF($D$118:$D$150,120,I118:I150)</f>
        <v>1649145.9</v>
      </c>
      <c r="J154" s="73">
        <f t="shared" si="72"/>
        <v>1637099.6999999997</v>
      </c>
      <c r="K154" s="73">
        <f t="shared" si="72"/>
        <v>1720799.1</v>
      </c>
      <c r="L154" s="73">
        <f t="shared" si="72"/>
        <v>1853465.8739</v>
      </c>
      <c r="M154" s="73">
        <f t="shared" si="72"/>
        <v>1720799.1</v>
      </c>
      <c r="N154" s="73">
        <f t="shared" si="72"/>
        <v>1853465.8739</v>
      </c>
      <c r="O154" s="73">
        <f t="shared" si="72"/>
        <v>1677621</v>
      </c>
      <c r="P154" s="73">
        <f t="shared" si="72"/>
        <v>1681161.7000000002</v>
      </c>
      <c r="Q154" s="5"/>
      <c r="R154" s="14"/>
    </row>
    <row r="155" spans="1:18" s="6" customFormat="1" ht="66" customHeight="1" x14ac:dyDescent="0.25">
      <c r="A155" s="28"/>
      <c r="B155" s="28" t="s">
        <v>290</v>
      </c>
      <c r="C155" s="28"/>
      <c r="D155" s="53" t="s">
        <v>291</v>
      </c>
      <c r="E155" s="5"/>
      <c r="F155" s="5"/>
      <c r="G155" s="5"/>
      <c r="H155" s="5"/>
      <c r="I155" s="73">
        <f t="shared" ref="I155:P155" si="73">SUMIF($D$118:$D$150,69,I118:I150)</f>
        <v>177845.2</v>
      </c>
      <c r="J155" s="73">
        <f t="shared" si="73"/>
        <v>178327.69999999998</v>
      </c>
      <c r="K155" s="73">
        <f t="shared" si="73"/>
        <v>182240.4</v>
      </c>
      <c r="L155" s="73">
        <f t="shared" si="73"/>
        <v>191967.84000000003</v>
      </c>
      <c r="M155" s="73">
        <f t="shared" si="73"/>
        <v>182240.4</v>
      </c>
      <c r="N155" s="73">
        <f t="shared" si="73"/>
        <v>191967.84000000003</v>
      </c>
      <c r="O155" s="73">
        <f t="shared" si="73"/>
        <v>182375.9</v>
      </c>
      <c r="P155" s="73">
        <f t="shared" si="73"/>
        <v>179984.19999999998</v>
      </c>
      <c r="Q155" s="5"/>
      <c r="R155" s="14"/>
    </row>
    <row r="156" spans="1:18" s="6" customFormat="1" ht="30" x14ac:dyDescent="0.25">
      <c r="A156" s="28"/>
      <c r="B156" s="28" t="s">
        <v>328</v>
      </c>
      <c r="C156" s="28"/>
      <c r="D156" s="53" t="s">
        <v>329</v>
      </c>
      <c r="E156" s="5"/>
      <c r="F156" s="5"/>
      <c r="G156" s="5"/>
      <c r="H156" s="5"/>
      <c r="I156" s="73">
        <f t="shared" ref="I156:P156" si="74">SUMIF($D$118:$D$150,382,I118:I150)</f>
        <v>0</v>
      </c>
      <c r="J156" s="73">
        <f t="shared" si="74"/>
        <v>0</v>
      </c>
      <c r="K156" s="73">
        <f t="shared" si="74"/>
        <v>4223.8999999999996</v>
      </c>
      <c r="L156" s="73">
        <f t="shared" si="74"/>
        <v>4223.8107099999997</v>
      </c>
      <c r="M156" s="73">
        <f t="shared" si="74"/>
        <v>4223.8999999999996</v>
      </c>
      <c r="N156" s="73">
        <f t="shared" si="74"/>
        <v>4223.8107099999997</v>
      </c>
      <c r="O156" s="73">
        <f t="shared" si="74"/>
        <v>4468</v>
      </c>
      <c r="P156" s="73">
        <f t="shared" si="74"/>
        <v>4468</v>
      </c>
      <c r="Q156" s="5"/>
      <c r="R156" s="14"/>
    </row>
    <row r="157" spans="1:18" s="81" customFormat="1" ht="25.5" customHeight="1" x14ac:dyDescent="0.25">
      <c r="A157" s="78"/>
      <c r="B157" s="79" t="s">
        <v>351</v>
      </c>
      <c r="C157" s="79"/>
      <c r="D157" s="79"/>
      <c r="E157" s="79"/>
      <c r="F157" s="79"/>
      <c r="G157" s="79"/>
      <c r="H157" s="79"/>
      <c r="I157" s="80">
        <f>SUM(I159:I162)</f>
        <v>10338052.799999999</v>
      </c>
      <c r="J157" s="80">
        <f t="shared" ref="J157:P157" si="75">SUM(J159:J162)</f>
        <v>10857597.359540001</v>
      </c>
      <c r="K157" s="80">
        <f t="shared" si="75"/>
        <v>10140596.819659997</v>
      </c>
      <c r="L157" s="80">
        <f t="shared" si="75"/>
        <v>10238257.506492002</v>
      </c>
      <c r="M157" s="80">
        <f t="shared" si="75"/>
        <v>10140596.819659997</v>
      </c>
      <c r="N157" s="80">
        <f t="shared" si="75"/>
        <v>10238257.506492002</v>
      </c>
      <c r="O157" s="80">
        <f t="shared" si="75"/>
        <v>8950991.9000000022</v>
      </c>
      <c r="P157" s="80">
        <f t="shared" si="75"/>
        <v>8939709.799999997</v>
      </c>
      <c r="Q157" s="79"/>
      <c r="R157" s="14"/>
    </row>
    <row r="158" spans="1:18" s="6" customFormat="1" x14ac:dyDescent="0.25">
      <c r="A158" s="28"/>
      <c r="B158" s="72" t="s">
        <v>279</v>
      </c>
      <c r="C158" s="28"/>
      <c r="D158" s="53"/>
      <c r="E158" s="5"/>
      <c r="F158" s="5"/>
      <c r="G158" s="5"/>
      <c r="H158" s="5"/>
      <c r="I158" s="73"/>
      <c r="J158" s="73"/>
      <c r="K158" s="73"/>
      <c r="L158" s="73"/>
      <c r="M158" s="73"/>
      <c r="N158" s="73"/>
      <c r="O158" s="73"/>
      <c r="P158" s="73"/>
      <c r="Q158" s="5"/>
      <c r="R158" s="14"/>
    </row>
    <row r="159" spans="1:18" s="6" customFormat="1" ht="30" x14ac:dyDescent="0.25">
      <c r="A159" s="28"/>
      <c r="B159" s="28" t="s">
        <v>32</v>
      </c>
      <c r="C159" s="28"/>
      <c r="D159" s="53" t="s">
        <v>33</v>
      </c>
      <c r="E159" s="5"/>
      <c r="F159" s="5"/>
      <c r="G159" s="5"/>
      <c r="H159" s="5"/>
      <c r="I159" s="73">
        <f t="shared" ref="I159:P159" si="76">SUMIF($D$28:$D$150,121,I28:I150)</f>
        <v>8421934.7999999989</v>
      </c>
      <c r="J159" s="73">
        <f t="shared" si="76"/>
        <v>8953595.8595400006</v>
      </c>
      <c r="K159" s="73">
        <f t="shared" si="76"/>
        <v>8144206.519659996</v>
      </c>
      <c r="L159" s="73">
        <f t="shared" si="76"/>
        <v>8099480.7975320015</v>
      </c>
      <c r="M159" s="73">
        <f t="shared" si="76"/>
        <v>8144206.519659996</v>
      </c>
      <c r="N159" s="73">
        <f t="shared" si="76"/>
        <v>8099480.7975320015</v>
      </c>
      <c r="O159" s="73">
        <f t="shared" si="76"/>
        <v>6997400.1000000015</v>
      </c>
      <c r="P159" s="73">
        <f t="shared" si="76"/>
        <v>6984968.9999999981</v>
      </c>
      <c r="Q159" s="5"/>
      <c r="R159" s="14"/>
    </row>
    <row r="160" spans="1:18" s="6" customFormat="1" ht="30" x14ac:dyDescent="0.25">
      <c r="A160" s="28"/>
      <c r="B160" s="28" t="s">
        <v>110</v>
      </c>
      <c r="C160" s="28"/>
      <c r="D160" s="53" t="s">
        <v>111</v>
      </c>
      <c r="E160" s="5"/>
      <c r="F160" s="5"/>
      <c r="G160" s="5"/>
      <c r="H160" s="5"/>
      <c r="I160" s="73">
        <f t="shared" ref="I160:P160" si="77">SUMIF($D$28:$D$150,120,I28:I150)</f>
        <v>1738272.8</v>
      </c>
      <c r="J160" s="73">
        <f t="shared" si="77"/>
        <v>1725673.7999999998</v>
      </c>
      <c r="K160" s="73">
        <f t="shared" si="77"/>
        <v>1809926</v>
      </c>
      <c r="L160" s="73">
        <f t="shared" si="77"/>
        <v>1942585.05825</v>
      </c>
      <c r="M160" s="73">
        <f t="shared" si="77"/>
        <v>1809926</v>
      </c>
      <c r="N160" s="73">
        <f t="shared" si="77"/>
        <v>1942585.05825</v>
      </c>
      <c r="O160" s="73">
        <f t="shared" si="77"/>
        <v>1766747.9</v>
      </c>
      <c r="P160" s="73">
        <f t="shared" si="77"/>
        <v>1770288.6</v>
      </c>
      <c r="Q160" s="5"/>
      <c r="R160" s="14"/>
    </row>
    <row r="161" spans="1:18" s="6" customFormat="1" ht="67.5" customHeight="1" x14ac:dyDescent="0.25">
      <c r="A161" s="28"/>
      <c r="B161" s="28" t="s">
        <v>290</v>
      </c>
      <c r="C161" s="28"/>
      <c r="D161" s="53" t="s">
        <v>291</v>
      </c>
      <c r="E161" s="5"/>
      <c r="F161" s="5"/>
      <c r="G161" s="5"/>
      <c r="H161" s="5"/>
      <c r="I161" s="73">
        <f t="shared" ref="I161:P161" si="78">SUMIF($D$28:$D$150,69,I28:I150)</f>
        <v>177845.2</v>
      </c>
      <c r="J161" s="73">
        <f t="shared" si="78"/>
        <v>178327.69999999998</v>
      </c>
      <c r="K161" s="73">
        <f t="shared" si="78"/>
        <v>182240.4</v>
      </c>
      <c r="L161" s="73">
        <f t="shared" si="78"/>
        <v>191967.84000000003</v>
      </c>
      <c r="M161" s="73">
        <f t="shared" si="78"/>
        <v>182240.4</v>
      </c>
      <c r="N161" s="73">
        <f t="shared" si="78"/>
        <v>191967.84000000003</v>
      </c>
      <c r="O161" s="73">
        <f t="shared" si="78"/>
        <v>182375.9</v>
      </c>
      <c r="P161" s="73">
        <f t="shared" si="78"/>
        <v>179984.19999999998</v>
      </c>
      <c r="Q161" s="5"/>
      <c r="R161" s="14"/>
    </row>
    <row r="162" spans="1:18" s="6" customFormat="1" ht="30" x14ac:dyDescent="0.25">
      <c r="A162" s="28"/>
      <c r="B162" s="28" t="s">
        <v>328</v>
      </c>
      <c r="C162" s="28"/>
      <c r="D162" s="53" t="s">
        <v>329</v>
      </c>
      <c r="E162" s="5"/>
      <c r="F162" s="5"/>
      <c r="G162" s="5"/>
      <c r="H162" s="5"/>
      <c r="I162" s="73">
        <f t="shared" ref="I162:P162" si="79">SUMIF($D$28:$D$150,382,I28:I150)</f>
        <v>0</v>
      </c>
      <c r="J162" s="73">
        <f t="shared" si="79"/>
        <v>0</v>
      </c>
      <c r="K162" s="73">
        <f t="shared" si="79"/>
        <v>4223.8999999999996</v>
      </c>
      <c r="L162" s="73">
        <f t="shared" si="79"/>
        <v>4223.8107099999997</v>
      </c>
      <c r="M162" s="73">
        <f t="shared" si="79"/>
        <v>4223.8999999999996</v>
      </c>
      <c r="N162" s="73">
        <f t="shared" si="79"/>
        <v>4223.8107099999997</v>
      </c>
      <c r="O162" s="73">
        <f t="shared" si="79"/>
        <v>4468</v>
      </c>
      <c r="P162" s="73">
        <f t="shared" si="79"/>
        <v>4468</v>
      </c>
      <c r="Q162" s="5"/>
      <c r="R162" s="14"/>
    </row>
    <row r="163" spans="1:18" s="6" customFormat="1" x14ac:dyDescent="0.25">
      <c r="A163" s="82"/>
      <c r="B163" s="82"/>
      <c r="C163" s="82"/>
      <c r="D163" s="83"/>
      <c r="E163" s="84"/>
      <c r="F163" s="84"/>
      <c r="G163" s="84"/>
      <c r="H163" s="84"/>
      <c r="I163" s="85"/>
      <c r="J163" s="85"/>
      <c r="K163" s="85"/>
      <c r="L163" s="85"/>
      <c r="M163" s="85"/>
      <c r="N163" s="85"/>
      <c r="O163" s="85"/>
      <c r="P163" s="85"/>
      <c r="Q163" s="84"/>
      <c r="R163" s="14"/>
    </row>
    <row r="164" spans="1:18" s="6" customFormat="1" x14ac:dyDescent="0.25">
      <c r="A164" s="82"/>
      <c r="B164" s="82"/>
      <c r="C164" s="82"/>
      <c r="D164" s="83"/>
      <c r="E164" s="84"/>
      <c r="F164" s="84"/>
      <c r="G164" s="84"/>
      <c r="H164" s="84"/>
      <c r="I164" s="85"/>
      <c r="J164" s="85"/>
      <c r="K164" s="85"/>
      <c r="L164" s="85"/>
      <c r="M164" s="85"/>
      <c r="N164" s="85"/>
      <c r="O164" s="85"/>
      <c r="P164" s="85"/>
      <c r="Q164" s="84"/>
      <c r="R164" s="14"/>
    </row>
    <row r="165" spans="1:18" s="6" customFormat="1" x14ac:dyDescent="0.25">
      <c r="A165" s="94"/>
      <c r="B165" s="94"/>
      <c r="C165" s="94"/>
      <c r="D165" s="83"/>
      <c r="E165" s="84"/>
      <c r="F165" s="84"/>
      <c r="G165" s="84"/>
      <c r="H165" s="84"/>
      <c r="I165" s="85"/>
      <c r="J165" s="85"/>
      <c r="K165" s="85"/>
      <c r="L165" s="85"/>
      <c r="M165" s="85"/>
      <c r="N165" s="85"/>
      <c r="O165" s="85"/>
      <c r="P165" s="85"/>
      <c r="Q165" s="84"/>
      <c r="R165" s="14"/>
    </row>
    <row r="166" spans="1:18" s="86" customFormat="1" ht="15.75" x14ac:dyDescent="0.25">
      <c r="A166" s="86" t="s">
        <v>354</v>
      </c>
      <c r="K166" s="93"/>
      <c r="L166" s="93" t="s">
        <v>352</v>
      </c>
    </row>
    <row r="168" spans="1:18" x14ac:dyDescent="0.25">
      <c r="A168" s="82"/>
      <c r="B168" s="82"/>
      <c r="C168" s="82"/>
    </row>
    <row r="169" spans="1:18" x14ac:dyDescent="0.25">
      <c r="A169" s="82"/>
      <c r="B169" s="82"/>
      <c r="C169" s="82"/>
    </row>
  </sheetData>
  <autoFilter ref="A17:R162"/>
  <mergeCells count="55">
    <mergeCell ref="Q118:Q121"/>
    <mergeCell ref="J118:J121"/>
    <mergeCell ref="I118:I121"/>
    <mergeCell ref="F118:F121"/>
    <mergeCell ref="D118:D121"/>
    <mergeCell ref="E118:E121"/>
    <mergeCell ref="O118:O121"/>
    <mergeCell ref="P118:P121"/>
    <mergeCell ref="A11:Q11"/>
    <mergeCell ref="A13:A16"/>
    <mergeCell ref="B13:B16"/>
    <mergeCell ref="C13:C16"/>
    <mergeCell ref="D13:G13"/>
    <mergeCell ref="I13:P13"/>
    <mergeCell ref="Q13:Q16"/>
    <mergeCell ref="D14:D16"/>
    <mergeCell ref="E14:E16"/>
    <mergeCell ref="F14:F16"/>
    <mergeCell ref="G14:G16"/>
    <mergeCell ref="I14:J15"/>
    <mergeCell ref="K14:N14"/>
    <mergeCell ref="O14:P14"/>
    <mergeCell ref="K15:L15"/>
    <mergeCell ref="M15:N15"/>
    <mergeCell ref="O15:O16"/>
    <mergeCell ref="P15:P16"/>
    <mergeCell ref="B63:C63"/>
    <mergeCell ref="B19:Q19"/>
    <mergeCell ref="B20:Q20"/>
    <mergeCell ref="B21:Q21"/>
    <mergeCell ref="B22:Q22"/>
    <mergeCell ref="B23:Q23"/>
    <mergeCell ref="B24:Q24"/>
    <mergeCell ref="B25:Q25"/>
    <mergeCell ref="B27:C27"/>
    <mergeCell ref="B33:C33"/>
    <mergeCell ref="B35:C35"/>
    <mergeCell ref="B57:C57"/>
    <mergeCell ref="B118:B121"/>
    <mergeCell ref="C118:C121"/>
    <mergeCell ref="A118:A121"/>
    <mergeCell ref="B74:C74"/>
    <mergeCell ref="B77:C77"/>
    <mergeCell ref="B93:C93"/>
    <mergeCell ref="B107:C107"/>
    <mergeCell ref="B117:C117"/>
    <mergeCell ref="A10:Q10"/>
    <mergeCell ref="M1:P1"/>
    <mergeCell ref="M6:P6"/>
    <mergeCell ref="M7:P7"/>
    <mergeCell ref="M8:P8"/>
    <mergeCell ref="M3:P3"/>
    <mergeCell ref="M4:P4"/>
    <mergeCell ref="M5:P5"/>
    <mergeCell ref="L2:P2"/>
  </mergeCells>
  <pageMargins left="0.59055118110236227" right="0.59055118110236227" top="0.59055118110236227" bottom="0.59055118110236227" header="0.31496062992125984" footer="0.31496062992125984"/>
  <pageSetup paperSize="9" scale="60" orientation="landscape" r:id="rId1"/>
  <rowBreaks count="3" manualBreakCount="3">
    <brk id="32" max="18" man="1"/>
    <brk id="72" max="18" man="1"/>
    <brk id="115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7"/>
  <sheetViews>
    <sheetView tabSelected="1" topLeftCell="A160" zoomScale="70" zoomScaleNormal="70" workbookViewId="0">
      <selection activeCell="C177" sqref="C177"/>
    </sheetView>
  </sheetViews>
  <sheetFormatPr defaultRowHeight="15.75" x14ac:dyDescent="0.25"/>
  <cols>
    <col min="1" max="1" width="9.28515625" style="109" bestFit="1" customWidth="1"/>
    <col min="2" max="2" width="65.85546875" style="109" customWidth="1"/>
    <col min="3" max="3" width="51" style="110" customWidth="1"/>
    <col min="4" max="4" width="7" style="109" bestFit="1" customWidth="1"/>
    <col min="5" max="5" width="6.5703125" style="109" bestFit="1" customWidth="1"/>
    <col min="6" max="6" width="14.5703125" style="109" bestFit="1" customWidth="1"/>
    <col min="7" max="7" width="8" style="109" customWidth="1"/>
    <col min="8" max="8" width="9.140625" style="109"/>
    <col min="9" max="14" width="16.42578125" style="109" bestFit="1" customWidth="1"/>
    <col min="15" max="15" width="21.5703125" style="109" bestFit="1" customWidth="1"/>
    <col min="16" max="16" width="21.28515625" style="109" bestFit="1" customWidth="1"/>
    <col min="17" max="17" width="14" style="109" bestFit="1" customWidth="1"/>
    <col min="18" max="16384" width="9.140625" style="108"/>
  </cols>
  <sheetData>
    <row r="1" spans="1:17" ht="18.75" x14ac:dyDescent="0.3">
      <c r="A1" s="111"/>
      <c r="B1" s="111"/>
      <c r="C1" s="112"/>
      <c r="D1" s="111"/>
      <c r="E1" s="111"/>
      <c r="F1" s="111"/>
      <c r="G1" s="111"/>
      <c r="H1" s="111"/>
      <c r="I1" s="111"/>
      <c r="J1" s="111"/>
      <c r="K1" s="111"/>
      <c r="L1" s="113"/>
      <c r="M1" s="177" t="s">
        <v>366</v>
      </c>
      <c r="N1" s="177"/>
      <c r="O1" s="177"/>
      <c r="P1" s="177"/>
      <c r="Q1" s="111"/>
    </row>
    <row r="2" spans="1:17" ht="18.75" x14ac:dyDescent="0.3">
      <c r="A2" s="111"/>
      <c r="B2" s="111"/>
      <c r="C2" s="112"/>
      <c r="D2" s="111"/>
      <c r="E2" s="111"/>
      <c r="F2" s="111"/>
      <c r="G2" s="111"/>
      <c r="H2" s="111"/>
      <c r="I2" s="111"/>
      <c r="J2" s="111"/>
      <c r="K2" s="111"/>
      <c r="L2" s="177" t="s">
        <v>364</v>
      </c>
      <c r="M2" s="177"/>
      <c r="N2" s="177"/>
      <c r="O2" s="177"/>
      <c r="P2" s="177"/>
      <c r="Q2" s="111"/>
    </row>
    <row r="3" spans="1:17" ht="18.75" x14ac:dyDescent="0.3">
      <c r="A3" s="111"/>
      <c r="B3" s="111"/>
      <c r="C3" s="112"/>
      <c r="D3" s="111"/>
      <c r="E3" s="111"/>
      <c r="F3" s="111"/>
      <c r="G3" s="111"/>
      <c r="H3" s="111"/>
      <c r="I3" s="111"/>
      <c r="J3" s="111"/>
      <c r="K3" s="111"/>
      <c r="L3" s="113"/>
      <c r="M3" s="177" t="s">
        <v>365</v>
      </c>
      <c r="N3" s="177"/>
      <c r="O3" s="177"/>
      <c r="P3" s="177"/>
      <c r="Q3" s="111"/>
    </row>
    <row r="4" spans="1:17" ht="18.75" x14ac:dyDescent="0.3">
      <c r="A4" s="111"/>
      <c r="B4" s="111"/>
      <c r="C4" s="112"/>
      <c r="D4" s="111"/>
      <c r="E4" s="111"/>
      <c r="F4" s="111"/>
      <c r="G4" s="111"/>
      <c r="H4" s="111"/>
      <c r="I4" s="111"/>
      <c r="J4" s="111"/>
      <c r="K4" s="111"/>
      <c r="L4" s="111"/>
      <c r="M4" s="178"/>
      <c r="N4" s="178"/>
      <c r="O4" s="178"/>
      <c r="P4" s="178"/>
      <c r="Q4" s="111"/>
    </row>
    <row r="5" spans="1:17" ht="18.75" x14ac:dyDescent="0.3">
      <c r="A5" s="111"/>
      <c r="B5" s="111"/>
      <c r="C5" s="112"/>
      <c r="D5" s="111"/>
      <c r="E5" s="111"/>
      <c r="F5" s="111"/>
      <c r="G5" s="111"/>
      <c r="H5" s="111"/>
      <c r="I5" s="111"/>
      <c r="J5" s="111"/>
      <c r="K5" s="111"/>
      <c r="L5" s="111"/>
      <c r="M5" s="177" t="s">
        <v>367</v>
      </c>
      <c r="N5" s="177"/>
      <c r="O5" s="177"/>
      <c r="P5" s="177"/>
      <c r="Q5" s="111"/>
    </row>
    <row r="6" spans="1:17" ht="18.75" x14ac:dyDescent="0.3">
      <c r="A6" s="111"/>
      <c r="B6" s="111"/>
      <c r="C6" s="112"/>
      <c r="D6" s="111"/>
      <c r="E6" s="111"/>
      <c r="F6" s="111"/>
      <c r="G6" s="111"/>
      <c r="H6" s="111"/>
      <c r="I6" s="111"/>
      <c r="J6" s="111"/>
      <c r="K6" s="111"/>
      <c r="L6" s="111"/>
      <c r="M6" s="177" t="s">
        <v>363</v>
      </c>
      <c r="N6" s="177"/>
      <c r="O6" s="177"/>
      <c r="P6" s="177"/>
      <c r="Q6" s="111"/>
    </row>
    <row r="7" spans="1:17" ht="18.75" x14ac:dyDescent="0.3">
      <c r="A7" s="111"/>
      <c r="B7" s="111"/>
      <c r="C7" s="112"/>
      <c r="D7" s="111"/>
      <c r="E7" s="111"/>
      <c r="F7" s="111"/>
      <c r="G7" s="111"/>
      <c r="H7" s="111"/>
      <c r="I7" s="111"/>
      <c r="J7" s="111"/>
      <c r="K7" s="111"/>
      <c r="L7" s="111"/>
      <c r="M7" s="177" t="s">
        <v>362</v>
      </c>
      <c r="N7" s="177"/>
      <c r="O7" s="177"/>
      <c r="P7" s="177"/>
      <c r="Q7" s="111"/>
    </row>
    <row r="8" spans="1:17" ht="18.75" x14ac:dyDescent="0.3">
      <c r="A8" s="111"/>
      <c r="B8" s="111"/>
      <c r="C8" s="112"/>
      <c r="D8" s="111"/>
      <c r="E8" s="111"/>
      <c r="F8" s="111"/>
      <c r="G8" s="111"/>
      <c r="H8" s="111"/>
      <c r="I8" s="111"/>
      <c r="J8" s="111"/>
      <c r="K8" s="111"/>
      <c r="L8" s="111"/>
      <c r="M8" s="177" t="s">
        <v>361</v>
      </c>
      <c r="N8" s="177"/>
      <c r="O8" s="177"/>
      <c r="P8" s="177"/>
      <c r="Q8" s="111"/>
    </row>
    <row r="9" spans="1:17" ht="18.75" x14ac:dyDescent="0.3">
      <c r="A9" s="111"/>
      <c r="B9" s="111"/>
      <c r="C9" s="112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</row>
    <row r="10" spans="1:17" ht="18.75" x14ac:dyDescent="0.3">
      <c r="A10" s="179" t="s">
        <v>0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</row>
    <row r="11" spans="1:17" ht="18.75" x14ac:dyDescent="0.25">
      <c r="A11" s="180" t="s">
        <v>1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</row>
    <row r="12" spans="1:17" ht="18.75" x14ac:dyDescent="0.3">
      <c r="A12" s="114"/>
      <c r="B12" s="114"/>
      <c r="C12" s="115"/>
      <c r="D12" s="114"/>
      <c r="E12" s="114"/>
      <c r="F12" s="114"/>
      <c r="G12" s="114"/>
      <c r="H12" s="114"/>
      <c r="I12" s="114"/>
      <c r="J12" s="114"/>
      <c r="K12" s="116"/>
      <c r="L12" s="116"/>
      <c r="M12" s="114"/>
      <c r="N12" s="114"/>
      <c r="O12" s="114"/>
      <c r="P12" s="114"/>
      <c r="Q12" s="114"/>
    </row>
    <row r="13" spans="1:17" ht="18.75" x14ac:dyDescent="0.3">
      <c r="A13" s="181" t="s">
        <v>2</v>
      </c>
      <c r="B13" s="181" t="s">
        <v>3</v>
      </c>
      <c r="C13" s="182" t="s">
        <v>4</v>
      </c>
      <c r="D13" s="183" t="s">
        <v>5</v>
      </c>
      <c r="E13" s="183"/>
      <c r="F13" s="183"/>
      <c r="G13" s="183"/>
      <c r="H13" s="117"/>
      <c r="I13" s="183" t="s">
        <v>358</v>
      </c>
      <c r="J13" s="183"/>
      <c r="K13" s="183"/>
      <c r="L13" s="183"/>
      <c r="M13" s="183"/>
      <c r="N13" s="183"/>
      <c r="O13" s="183"/>
      <c r="P13" s="183"/>
      <c r="Q13" s="181" t="s">
        <v>6</v>
      </c>
    </row>
    <row r="14" spans="1:17" ht="18.75" x14ac:dyDescent="0.25">
      <c r="A14" s="181"/>
      <c r="B14" s="181"/>
      <c r="C14" s="182"/>
      <c r="D14" s="181" t="s">
        <v>7</v>
      </c>
      <c r="E14" s="181" t="s">
        <v>8</v>
      </c>
      <c r="F14" s="181" t="s">
        <v>9</v>
      </c>
      <c r="G14" s="181" t="s">
        <v>10</v>
      </c>
      <c r="H14" s="118"/>
      <c r="I14" s="181" t="s">
        <v>11</v>
      </c>
      <c r="J14" s="181"/>
      <c r="K14" s="181" t="s">
        <v>12</v>
      </c>
      <c r="L14" s="181"/>
      <c r="M14" s="181"/>
      <c r="N14" s="181"/>
      <c r="O14" s="181" t="s">
        <v>13</v>
      </c>
      <c r="P14" s="181"/>
      <c r="Q14" s="181"/>
    </row>
    <row r="15" spans="1:17" ht="18.75" x14ac:dyDescent="0.25">
      <c r="A15" s="181"/>
      <c r="B15" s="181"/>
      <c r="C15" s="182"/>
      <c r="D15" s="181"/>
      <c r="E15" s="181"/>
      <c r="F15" s="181"/>
      <c r="G15" s="181"/>
      <c r="H15" s="118"/>
      <c r="I15" s="181"/>
      <c r="J15" s="181"/>
      <c r="K15" s="185" t="s">
        <v>357</v>
      </c>
      <c r="L15" s="185"/>
      <c r="M15" s="181" t="s">
        <v>14</v>
      </c>
      <c r="N15" s="181"/>
      <c r="O15" s="181" t="s">
        <v>15</v>
      </c>
      <c r="P15" s="181" t="s">
        <v>16</v>
      </c>
      <c r="Q15" s="181"/>
    </row>
    <row r="16" spans="1:17" ht="18.75" x14ac:dyDescent="0.25">
      <c r="A16" s="181"/>
      <c r="B16" s="181"/>
      <c r="C16" s="182"/>
      <c r="D16" s="181"/>
      <c r="E16" s="181"/>
      <c r="F16" s="181"/>
      <c r="G16" s="181"/>
      <c r="H16" s="118"/>
      <c r="I16" s="118" t="s">
        <v>17</v>
      </c>
      <c r="J16" s="118" t="s">
        <v>18</v>
      </c>
      <c r="K16" s="119" t="s">
        <v>17</v>
      </c>
      <c r="L16" s="119" t="s">
        <v>18</v>
      </c>
      <c r="M16" s="118" t="s">
        <v>17</v>
      </c>
      <c r="N16" s="118" t="s">
        <v>18</v>
      </c>
      <c r="O16" s="181"/>
      <c r="P16" s="181"/>
      <c r="Q16" s="181"/>
    </row>
    <row r="17" spans="1:17" ht="18.75" x14ac:dyDescent="0.25">
      <c r="A17" s="118">
        <v>1</v>
      </c>
      <c r="B17" s="118">
        <v>2</v>
      </c>
      <c r="C17" s="120">
        <v>3</v>
      </c>
      <c r="D17" s="118">
        <v>4</v>
      </c>
      <c r="E17" s="118">
        <v>5</v>
      </c>
      <c r="F17" s="118">
        <v>6</v>
      </c>
      <c r="G17" s="118">
        <v>7</v>
      </c>
      <c r="H17" s="118"/>
      <c r="I17" s="118">
        <v>8</v>
      </c>
      <c r="J17" s="118">
        <v>9</v>
      </c>
      <c r="K17" s="121">
        <v>10</v>
      </c>
      <c r="L17" s="121">
        <v>11</v>
      </c>
      <c r="M17" s="121">
        <v>12</v>
      </c>
      <c r="N17" s="121">
        <v>13</v>
      </c>
      <c r="O17" s="121">
        <v>14</v>
      </c>
      <c r="P17" s="121">
        <v>15</v>
      </c>
      <c r="Q17" s="121">
        <v>16</v>
      </c>
    </row>
    <row r="18" spans="1:17" ht="41.25" customHeight="1" x14ac:dyDescent="0.25">
      <c r="A18" s="187" t="s">
        <v>19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</row>
    <row r="19" spans="1:17" ht="40.5" customHeight="1" x14ac:dyDescent="0.25">
      <c r="A19" s="122"/>
      <c r="B19" s="182" t="s">
        <v>20</v>
      </c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</row>
    <row r="20" spans="1:17" ht="40.5" customHeight="1" x14ac:dyDescent="0.25">
      <c r="A20" s="122"/>
      <c r="B20" s="184" t="s">
        <v>21</v>
      </c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</row>
    <row r="21" spans="1:17" ht="40.5" customHeight="1" x14ac:dyDescent="0.25">
      <c r="A21" s="122"/>
      <c r="B21" s="184" t="s">
        <v>22</v>
      </c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</row>
    <row r="22" spans="1:17" ht="40.5" customHeight="1" x14ac:dyDescent="0.25">
      <c r="A22" s="122"/>
      <c r="B22" s="184" t="s">
        <v>23</v>
      </c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</row>
    <row r="23" spans="1:17" ht="40.5" customHeight="1" x14ac:dyDescent="0.25">
      <c r="A23" s="122"/>
      <c r="B23" s="184" t="s">
        <v>24</v>
      </c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</row>
    <row r="24" spans="1:17" ht="40.5" customHeight="1" x14ac:dyDescent="0.25">
      <c r="A24" s="122"/>
      <c r="B24" s="184" t="s">
        <v>25</v>
      </c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</row>
    <row r="25" spans="1:17" ht="40.5" customHeight="1" x14ac:dyDescent="0.25">
      <c r="A25" s="122"/>
      <c r="B25" s="184" t="s">
        <v>26</v>
      </c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</row>
    <row r="26" spans="1:17" ht="40.5" customHeight="1" x14ac:dyDescent="0.3">
      <c r="A26" s="122"/>
      <c r="B26" s="123" t="s">
        <v>27</v>
      </c>
      <c r="C26" s="120"/>
      <c r="D26" s="124"/>
      <c r="E26" s="118"/>
      <c r="F26" s="118"/>
      <c r="G26" s="118"/>
      <c r="H26" s="118"/>
      <c r="I26" s="125"/>
      <c r="J26" s="125"/>
      <c r="K26" s="125"/>
      <c r="L26" s="125"/>
      <c r="M26" s="125"/>
      <c r="N26" s="125"/>
      <c r="O26" s="125"/>
      <c r="P26" s="125"/>
      <c r="Q26" s="118"/>
    </row>
    <row r="27" spans="1:17" ht="40.5" customHeight="1" x14ac:dyDescent="0.3">
      <c r="A27" s="122" t="s">
        <v>28</v>
      </c>
      <c r="B27" s="186" t="s">
        <v>29</v>
      </c>
      <c r="C27" s="186"/>
      <c r="D27" s="126"/>
      <c r="E27" s="126"/>
      <c r="F27" s="126"/>
      <c r="G27" s="117"/>
      <c r="H27" s="117"/>
      <c r="I27" s="127">
        <f>SUM(I28:I32)</f>
        <v>160523.5</v>
      </c>
      <c r="J27" s="127">
        <f>SUM(J28:J32)</f>
        <v>160523.50792</v>
      </c>
      <c r="K27" s="127">
        <f t="shared" ref="K27:P27" si="0">SUM(K28:K31)</f>
        <v>95657.9</v>
      </c>
      <c r="L27" s="127">
        <f t="shared" si="0"/>
        <v>95657.894740000018</v>
      </c>
      <c r="M27" s="127">
        <f t="shared" si="0"/>
        <v>95657.9</v>
      </c>
      <c r="N27" s="127">
        <f t="shared" si="0"/>
        <v>95657.894740000018</v>
      </c>
      <c r="O27" s="127">
        <f>SUM(O28:O31)</f>
        <v>0</v>
      </c>
      <c r="P27" s="127">
        <f t="shared" si="0"/>
        <v>0</v>
      </c>
      <c r="Q27" s="117"/>
    </row>
    <row r="28" spans="1:17" ht="200.25" customHeight="1" x14ac:dyDescent="0.25">
      <c r="A28" s="122" t="s">
        <v>30</v>
      </c>
      <c r="B28" s="122" t="s">
        <v>31</v>
      </c>
      <c r="C28" s="120" t="s">
        <v>32</v>
      </c>
      <c r="D28" s="128" t="s">
        <v>33</v>
      </c>
      <c r="E28" s="128" t="s">
        <v>34</v>
      </c>
      <c r="F28" s="128" t="s">
        <v>35</v>
      </c>
      <c r="G28" s="128" t="s">
        <v>36</v>
      </c>
      <c r="H28" s="129"/>
      <c r="I28" s="130">
        <v>67500</v>
      </c>
      <c r="J28" s="130">
        <f>I28</f>
        <v>67500</v>
      </c>
      <c r="K28" s="130">
        <v>53187.4</v>
      </c>
      <c r="L28" s="130">
        <f>2659.37+50528.03</f>
        <v>53187.4</v>
      </c>
      <c r="M28" s="130">
        <f>K28</f>
        <v>53187.4</v>
      </c>
      <c r="N28" s="130">
        <f>L28</f>
        <v>53187.4</v>
      </c>
      <c r="O28" s="130"/>
      <c r="P28" s="130"/>
      <c r="Q28" s="131"/>
    </row>
    <row r="29" spans="1:17" ht="117" customHeight="1" x14ac:dyDescent="0.25">
      <c r="A29" s="122" t="s">
        <v>37</v>
      </c>
      <c r="B29" s="122" t="s">
        <v>355</v>
      </c>
      <c r="C29" s="120" t="s">
        <v>32</v>
      </c>
      <c r="D29" s="128" t="s">
        <v>33</v>
      </c>
      <c r="E29" s="128" t="s">
        <v>34</v>
      </c>
      <c r="F29" s="128" t="s">
        <v>38</v>
      </c>
      <c r="G29" s="128" t="s">
        <v>39</v>
      </c>
      <c r="H29" s="129"/>
      <c r="I29" s="130">
        <v>53206.8</v>
      </c>
      <c r="J29" s="130">
        <v>53206.762110000003</v>
      </c>
      <c r="K29" s="130">
        <v>38260</v>
      </c>
      <c r="L29" s="130">
        <f>1912.99842+36346.97</f>
        <v>38259.968420000005</v>
      </c>
      <c r="M29" s="130">
        <v>38260</v>
      </c>
      <c r="N29" s="130">
        <f t="shared" ref="N29:N30" si="1">L29</f>
        <v>38259.968420000005</v>
      </c>
      <c r="O29" s="130"/>
      <c r="P29" s="130"/>
      <c r="Q29" s="131"/>
    </row>
    <row r="30" spans="1:17" ht="126.75" customHeight="1" x14ac:dyDescent="0.25">
      <c r="A30" s="122" t="s">
        <v>40</v>
      </c>
      <c r="B30" s="122" t="s">
        <v>41</v>
      </c>
      <c r="C30" s="120" t="s">
        <v>32</v>
      </c>
      <c r="D30" s="128" t="s">
        <v>33</v>
      </c>
      <c r="E30" s="128" t="s">
        <v>34</v>
      </c>
      <c r="F30" s="128" t="s">
        <v>42</v>
      </c>
      <c r="G30" s="128" t="s">
        <v>39</v>
      </c>
      <c r="H30" s="129"/>
      <c r="I30" s="130">
        <v>17963.7</v>
      </c>
      <c r="J30" s="130">
        <v>17963.74581</v>
      </c>
      <c r="K30" s="130">
        <v>4210.5</v>
      </c>
      <c r="L30" s="130">
        <f>210.52632+4000</f>
        <v>4210.5263199999999</v>
      </c>
      <c r="M30" s="130">
        <v>4210.5</v>
      </c>
      <c r="N30" s="130">
        <f t="shared" si="1"/>
        <v>4210.5263199999999</v>
      </c>
      <c r="O30" s="130"/>
      <c r="P30" s="130"/>
      <c r="Q30" s="131"/>
    </row>
    <row r="31" spans="1:17" ht="118.5" customHeight="1" x14ac:dyDescent="0.25">
      <c r="A31" s="122"/>
      <c r="B31" s="122" t="s">
        <v>41</v>
      </c>
      <c r="C31" s="120" t="s">
        <v>32</v>
      </c>
      <c r="D31" s="128" t="s">
        <v>33</v>
      </c>
      <c r="E31" s="128" t="s">
        <v>34</v>
      </c>
      <c r="F31" s="128" t="s">
        <v>42</v>
      </c>
      <c r="G31" s="128" t="s">
        <v>36</v>
      </c>
      <c r="H31" s="129"/>
      <c r="I31" s="130">
        <v>17963.7</v>
      </c>
      <c r="J31" s="130">
        <v>17963.74581</v>
      </c>
      <c r="K31" s="130"/>
      <c r="L31" s="130"/>
      <c r="M31" s="130"/>
      <c r="N31" s="130"/>
      <c r="O31" s="130"/>
      <c r="P31" s="130"/>
      <c r="Q31" s="131"/>
    </row>
    <row r="32" spans="1:17" ht="91.5" customHeight="1" x14ac:dyDescent="0.25">
      <c r="A32" s="122"/>
      <c r="B32" s="122" t="s">
        <v>43</v>
      </c>
      <c r="C32" s="120" t="s">
        <v>32</v>
      </c>
      <c r="D32" s="128" t="s">
        <v>33</v>
      </c>
      <c r="E32" s="128" t="s">
        <v>34</v>
      </c>
      <c r="F32" s="128" t="s">
        <v>44</v>
      </c>
      <c r="G32" s="128" t="s">
        <v>36</v>
      </c>
      <c r="H32" s="129"/>
      <c r="I32" s="130">
        <v>3889.3</v>
      </c>
      <c r="J32" s="130">
        <v>3889.2541900000001</v>
      </c>
      <c r="K32" s="130"/>
      <c r="L32" s="130"/>
      <c r="M32" s="130"/>
      <c r="N32" s="130"/>
      <c r="O32" s="130"/>
      <c r="P32" s="130"/>
      <c r="Q32" s="131"/>
    </row>
    <row r="33" spans="1:17" ht="40.5" customHeight="1" x14ac:dyDescent="0.25">
      <c r="A33" s="122"/>
      <c r="B33" s="186" t="s">
        <v>45</v>
      </c>
      <c r="C33" s="186"/>
      <c r="D33" s="128"/>
      <c r="E33" s="128"/>
      <c r="F33" s="128"/>
      <c r="G33" s="128"/>
      <c r="H33" s="129"/>
      <c r="I33" s="127">
        <f>I34</f>
        <v>51484.6</v>
      </c>
      <c r="J33" s="127">
        <f>J34</f>
        <v>51484.598610000001</v>
      </c>
      <c r="K33" s="130"/>
      <c r="L33" s="130"/>
      <c r="M33" s="130"/>
      <c r="N33" s="130"/>
      <c r="O33" s="130"/>
      <c r="P33" s="130"/>
      <c r="Q33" s="131"/>
    </row>
    <row r="34" spans="1:17" ht="49.5" customHeight="1" x14ac:dyDescent="0.25">
      <c r="A34" s="122"/>
      <c r="B34" s="122" t="s">
        <v>46</v>
      </c>
      <c r="C34" s="120" t="s">
        <v>32</v>
      </c>
      <c r="D34" s="128" t="s">
        <v>33</v>
      </c>
      <c r="E34" s="128" t="s">
        <v>34</v>
      </c>
      <c r="F34" s="128" t="s">
        <v>47</v>
      </c>
      <c r="G34" s="128" t="s">
        <v>36</v>
      </c>
      <c r="H34" s="129"/>
      <c r="I34" s="130">
        <v>51484.6</v>
      </c>
      <c r="J34" s="130">
        <v>51484.598610000001</v>
      </c>
      <c r="K34" s="130"/>
      <c r="L34" s="130"/>
      <c r="M34" s="130"/>
      <c r="N34" s="130"/>
      <c r="O34" s="130"/>
      <c r="P34" s="130"/>
      <c r="Q34" s="131"/>
    </row>
    <row r="35" spans="1:17" ht="40.5" customHeight="1" x14ac:dyDescent="0.3">
      <c r="A35" s="122" t="s">
        <v>48</v>
      </c>
      <c r="B35" s="186" t="s">
        <v>49</v>
      </c>
      <c r="C35" s="186"/>
      <c r="D35" s="126"/>
      <c r="E35" s="126"/>
      <c r="F35" s="126"/>
      <c r="G35" s="132"/>
      <c r="H35" s="124"/>
      <c r="I35" s="127">
        <f t="shared" ref="I35:P35" si="2">SUM(I36:I56)</f>
        <v>4660161.7999999989</v>
      </c>
      <c r="J35" s="127">
        <f t="shared" si="2"/>
        <v>4931797.6660599988</v>
      </c>
      <c r="K35" s="127">
        <f t="shared" si="2"/>
        <v>4740018.2</v>
      </c>
      <c r="L35" s="127">
        <f t="shared" si="2"/>
        <v>4749537.7288820008</v>
      </c>
      <c r="M35" s="127">
        <f t="shared" si="2"/>
        <v>4740018.2</v>
      </c>
      <c r="N35" s="127">
        <f t="shared" si="2"/>
        <v>4749537.7288820008</v>
      </c>
      <c r="O35" s="127">
        <f t="shared" si="2"/>
        <v>3539708.4</v>
      </c>
      <c r="P35" s="127">
        <f t="shared" si="2"/>
        <v>3734874.4999999991</v>
      </c>
      <c r="Q35" s="117"/>
    </row>
    <row r="36" spans="1:17" ht="143.25" customHeight="1" x14ac:dyDescent="0.25">
      <c r="A36" s="122" t="s">
        <v>50</v>
      </c>
      <c r="B36" s="122" t="s">
        <v>51</v>
      </c>
      <c r="C36" s="120" t="s">
        <v>32</v>
      </c>
      <c r="D36" s="128" t="s">
        <v>33</v>
      </c>
      <c r="E36" s="128" t="s">
        <v>34</v>
      </c>
      <c r="F36" s="128" t="s">
        <v>52</v>
      </c>
      <c r="G36" s="128" t="s">
        <v>36</v>
      </c>
      <c r="H36" s="129"/>
      <c r="I36" s="130">
        <v>124323.2</v>
      </c>
      <c r="J36" s="130">
        <v>124323.23604</v>
      </c>
      <c r="K36" s="130">
        <v>117686.6</v>
      </c>
      <c r="L36" s="130">
        <f>34129.11972+83557.5</f>
        <v>117686.61972</v>
      </c>
      <c r="M36" s="130">
        <f>K36</f>
        <v>117686.6</v>
      </c>
      <c r="N36" s="130">
        <f t="shared" ref="N36:N56" si="3">L36</f>
        <v>117686.61972</v>
      </c>
      <c r="O36" s="130">
        <v>121876.1</v>
      </c>
      <c r="P36" s="130">
        <v>141089.20000000001</v>
      </c>
      <c r="Q36" s="131"/>
    </row>
    <row r="37" spans="1:17" ht="100.5" customHeight="1" x14ac:dyDescent="0.25">
      <c r="A37" s="122" t="s">
        <v>53</v>
      </c>
      <c r="B37" s="122" t="s">
        <v>54</v>
      </c>
      <c r="C37" s="120" t="s">
        <v>32</v>
      </c>
      <c r="D37" s="128" t="s">
        <v>33</v>
      </c>
      <c r="E37" s="128" t="s">
        <v>34</v>
      </c>
      <c r="F37" s="128" t="s">
        <v>55</v>
      </c>
      <c r="G37" s="128" t="s">
        <v>36</v>
      </c>
      <c r="H37" s="129"/>
      <c r="I37" s="130">
        <v>118054.1</v>
      </c>
      <c r="J37" s="130">
        <v>118053.88206</v>
      </c>
      <c r="K37" s="130">
        <v>140758</v>
      </c>
      <c r="L37" s="130">
        <f>40819.82817+99938.2</f>
        <v>140758.02817000001</v>
      </c>
      <c r="M37" s="130">
        <f t="shared" ref="M37:M56" si="4">K37</f>
        <v>140758</v>
      </c>
      <c r="N37" s="130">
        <f t="shared" si="3"/>
        <v>140758.02817000001</v>
      </c>
      <c r="O37" s="130">
        <v>145768.70000000001</v>
      </c>
      <c r="P37" s="130">
        <v>168748.5</v>
      </c>
      <c r="Q37" s="131"/>
    </row>
    <row r="38" spans="1:17" ht="95.25" customHeight="1" x14ac:dyDescent="0.25">
      <c r="A38" s="122" t="s">
        <v>56</v>
      </c>
      <c r="B38" s="122" t="s">
        <v>57</v>
      </c>
      <c r="C38" s="120" t="s">
        <v>32</v>
      </c>
      <c r="D38" s="128" t="s">
        <v>33</v>
      </c>
      <c r="E38" s="128" t="s">
        <v>34</v>
      </c>
      <c r="F38" s="128" t="s">
        <v>58</v>
      </c>
      <c r="G38" s="128" t="s">
        <v>36</v>
      </c>
      <c r="H38" s="129"/>
      <c r="I38" s="130">
        <v>49024.6</v>
      </c>
      <c r="J38" s="130">
        <v>58131.830979999999</v>
      </c>
      <c r="K38" s="130">
        <v>83814.5</v>
      </c>
      <c r="L38" s="130">
        <f>24306.20705+59508.3</f>
        <v>83814.50705</v>
      </c>
      <c r="M38" s="130">
        <f t="shared" si="4"/>
        <v>83814.5</v>
      </c>
      <c r="N38" s="130">
        <f t="shared" si="3"/>
        <v>83814.50705</v>
      </c>
      <c r="O38" s="130">
        <v>53526.2</v>
      </c>
      <c r="P38" s="130">
        <v>61964.4</v>
      </c>
      <c r="Q38" s="131"/>
    </row>
    <row r="39" spans="1:17" ht="209.25" customHeight="1" x14ac:dyDescent="0.25">
      <c r="A39" s="122" t="s">
        <v>59</v>
      </c>
      <c r="B39" s="122" t="s">
        <v>60</v>
      </c>
      <c r="C39" s="120" t="s">
        <v>32</v>
      </c>
      <c r="D39" s="128" t="s">
        <v>33</v>
      </c>
      <c r="E39" s="128" t="s">
        <v>34</v>
      </c>
      <c r="F39" s="128" t="s">
        <v>61</v>
      </c>
      <c r="G39" s="128" t="s">
        <v>36</v>
      </c>
      <c r="H39" s="129"/>
      <c r="I39" s="130">
        <v>190833.1</v>
      </c>
      <c r="J39" s="130">
        <v>190833.09859000001</v>
      </c>
      <c r="K39" s="130">
        <v>66693.399999999994</v>
      </c>
      <c r="L39" s="130">
        <f>19341.08866+47352.32055</f>
        <v>66693.409209999998</v>
      </c>
      <c r="M39" s="130">
        <f t="shared" si="4"/>
        <v>66693.399999999994</v>
      </c>
      <c r="N39" s="130">
        <f t="shared" si="3"/>
        <v>66693.409209999998</v>
      </c>
      <c r="O39" s="130">
        <v>63894.8</v>
      </c>
      <c r="P39" s="130">
        <v>73967.5</v>
      </c>
      <c r="Q39" s="131"/>
    </row>
    <row r="40" spans="1:17" ht="102" customHeight="1" x14ac:dyDescent="0.25">
      <c r="A40" s="122" t="s">
        <v>62</v>
      </c>
      <c r="B40" s="122" t="s">
        <v>63</v>
      </c>
      <c r="C40" s="120" t="s">
        <v>32</v>
      </c>
      <c r="D40" s="128" t="s">
        <v>33</v>
      </c>
      <c r="E40" s="128" t="s">
        <v>34</v>
      </c>
      <c r="F40" s="128" t="s">
        <v>64</v>
      </c>
      <c r="G40" s="128" t="s">
        <v>36</v>
      </c>
      <c r="H40" s="129"/>
      <c r="I40" s="130">
        <v>433427.20000000001</v>
      </c>
      <c r="J40" s="130">
        <v>433427.17787999997</v>
      </c>
      <c r="K40" s="130">
        <v>329535.5</v>
      </c>
      <c r="L40" s="130">
        <f>95565.29295+233970.19997</f>
        <v>329535.49291999999</v>
      </c>
      <c r="M40" s="130">
        <f t="shared" si="4"/>
        <v>329535.5</v>
      </c>
      <c r="N40" s="130">
        <f t="shared" si="3"/>
        <v>329535.49291999999</v>
      </c>
      <c r="O40" s="130">
        <v>339087.1</v>
      </c>
      <c r="P40" s="130">
        <v>392542.7</v>
      </c>
      <c r="Q40" s="131"/>
    </row>
    <row r="41" spans="1:17" ht="102" customHeight="1" x14ac:dyDescent="0.3">
      <c r="A41" s="122" t="s">
        <v>65</v>
      </c>
      <c r="B41" s="122" t="s">
        <v>66</v>
      </c>
      <c r="C41" s="120" t="s">
        <v>32</v>
      </c>
      <c r="D41" s="128" t="s">
        <v>33</v>
      </c>
      <c r="E41" s="128" t="s">
        <v>34</v>
      </c>
      <c r="F41" s="128" t="s">
        <v>353</v>
      </c>
      <c r="G41" s="128" t="s">
        <v>36</v>
      </c>
      <c r="H41" s="117"/>
      <c r="I41" s="130">
        <v>88246.5</v>
      </c>
      <c r="J41" s="130">
        <v>88246.478870000006</v>
      </c>
      <c r="K41" s="130">
        <v>32403.7</v>
      </c>
      <c r="L41" s="130">
        <f>9397.05358+23006.57945</f>
        <v>32403.633030000001</v>
      </c>
      <c r="M41" s="130">
        <f t="shared" si="4"/>
        <v>32403.7</v>
      </c>
      <c r="N41" s="130">
        <f t="shared" si="3"/>
        <v>32403.633030000001</v>
      </c>
      <c r="O41" s="130">
        <v>72649.600000000006</v>
      </c>
      <c r="P41" s="130">
        <v>91984.6</v>
      </c>
      <c r="Q41" s="117"/>
    </row>
    <row r="42" spans="1:17" ht="107.25" customHeight="1" x14ac:dyDescent="0.25">
      <c r="A42" s="122" t="s">
        <v>67</v>
      </c>
      <c r="B42" s="122" t="s">
        <v>68</v>
      </c>
      <c r="C42" s="120" t="s">
        <v>32</v>
      </c>
      <c r="D42" s="128" t="s">
        <v>33</v>
      </c>
      <c r="E42" s="128" t="s">
        <v>34</v>
      </c>
      <c r="F42" s="128" t="s">
        <v>69</v>
      </c>
      <c r="G42" s="128" t="s">
        <v>39</v>
      </c>
      <c r="H42" s="129"/>
      <c r="I42" s="130">
        <v>50000</v>
      </c>
      <c r="J42" s="130">
        <v>50000</v>
      </c>
      <c r="K42" s="130">
        <v>50000</v>
      </c>
      <c r="L42" s="130">
        <f>14256.95042+34904.94758</f>
        <v>49161.898000000001</v>
      </c>
      <c r="M42" s="130">
        <f t="shared" si="4"/>
        <v>50000</v>
      </c>
      <c r="N42" s="130">
        <f t="shared" si="3"/>
        <v>49161.898000000001</v>
      </c>
      <c r="O42" s="130">
        <v>50000</v>
      </c>
      <c r="P42" s="130">
        <v>50000</v>
      </c>
      <c r="Q42" s="131"/>
    </row>
    <row r="43" spans="1:17" ht="75" customHeight="1" x14ac:dyDescent="0.25">
      <c r="A43" s="122" t="s">
        <v>70</v>
      </c>
      <c r="B43" s="122" t="s">
        <v>71</v>
      </c>
      <c r="C43" s="120" t="s">
        <v>32</v>
      </c>
      <c r="D43" s="128" t="s">
        <v>33</v>
      </c>
      <c r="E43" s="128" t="s">
        <v>34</v>
      </c>
      <c r="F43" s="128" t="s">
        <v>72</v>
      </c>
      <c r="G43" s="128" t="s">
        <v>36</v>
      </c>
      <c r="H43" s="129"/>
      <c r="I43" s="130">
        <v>441303.8</v>
      </c>
      <c r="J43" s="130">
        <f>441303.80431+318510.405</f>
        <v>759814.20931000006</v>
      </c>
      <c r="K43" s="130">
        <v>235163.9</v>
      </c>
      <c r="L43" s="130">
        <f>68197.5+166966.4</f>
        <v>235163.9</v>
      </c>
      <c r="M43" s="130">
        <f t="shared" si="4"/>
        <v>235163.9</v>
      </c>
      <c r="N43" s="130">
        <f t="shared" si="3"/>
        <v>235163.9</v>
      </c>
      <c r="O43" s="130">
        <v>234400.1</v>
      </c>
      <c r="P43" s="130">
        <v>274129</v>
      </c>
      <c r="Q43" s="131"/>
    </row>
    <row r="44" spans="1:17" ht="123.75" customHeight="1" x14ac:dyDescent="0.25">
      <c r="A44" s="122" t="s">
        <v>73</v>
      </c>
      <c r="B44" s="122" t="s">
        <v>74</v>
      </c>
      <c r="C44" s="120" t="s">
        <v>32</v>
      </c>
      <c r="D44" s="128" t="s">
        <v>33</v>
      </c>
      <c r="E44" s="128" t="s">
        <v>34</v>
      </c>
      <c r="F44" s="128" t="s">
        <v>75</v>
      </c>
      <c r="G44" s="128" t="s">
        <v>36</v>
      </c>
      <c r="H44" s="129"/>
      <c r="I44" s="130"/>
      <c r="J44" s="130"/>
      <c r="K44" s="130">
        <v>52309.7</v>
      </c>
      <c r="L44" s="130">
        <f>15169.81831+37139.9</f>
        <v>52309.718310000004</v>
      </c>
      <c r="M44" s="130">
        <f t="shared" si="4"/>
        <v>52309.7</v>
      </c>
      <c r="N44" s="130">
        <f t="shared" si="3"/>
        <v>52309.718310000004</v>
      </c>
      <c r="O44" s="130">
        <v>53825.9</v>
      </c>
      <c r="P44" s="130">
        <v>62311.4</v>
      </c>
      <c r="Q44" s="131"/>
    </row>
    <row r="45" spans="1:17" ht="64.5" customHeight="1" x14ac:dyDescent="0.3">
      <c r="A45" s="133" t="s">
        <v>76</v>
      </c>
      <c r="B45" s="122" t="s">
        <v>77</v>
      </c>
      <c r="C45" s="120" t="s">
        <v>32</v>
      </c>
      <c r="D45" s="128" t="s">
        <v>33</v>
      </c>
      <c r="E45" s="128" t="s">
        <v>34</v>
      </c>
      <c r="F45" s="128" t="s">
        <v>78</v>
      </c>
      <c r="G45" s="128" t="s">
        <v>36</v>
      </c>
      <c r="H45" s="117"/>
      <c r="I45" s="130">
        <v>628966.80000000005</v>
      </c>
      <c r="J45" s="130">
        <v>628966.79882999999</v>
      </c>
      <c r="K45" s="130">
        <v>539615.6</v>
      </c>
      <c r="L45" s="130">
        <v>539615.57999999996</v>
      </c>
      <c r="M45" s="130">
        <f t="shared" si="4"/>
        <v>539615.6</v>
      </c>
      <c r="N45" s="130">
        <f t="shared" si="3"/>
        <v>539615.57999999996</v>
      </c>
      <c r="O45" s="130">
        <v>539615.6</v>
      </c>
      <c r="P45" s="130">
        <v>542414.30000000005</v>
      </c>
      <c r="Q45" s="117"/>
    </row>
    <row r="46" spans="1:17" ht="68.25" customHeight="1" x14ac:dyDescent="0.3">
      <c r="A46" s="133" t="s">
        <v>79</v>
      </c>
      <c r="B46" s="122" t="s">
        <v>80</v>
      </c>
      <c r="C46" s="120" t="s">
        <v>32</v>
      </c>
      <c r="D46" s="128" t="s">
        <v>33</v>
      </c>
      <c r="E46" s="128" t="s">
        <v>34</v>
      </c>
      <c r="F46" s="128" t="s">
        <v>81</v>
      </c>
      <c r="G46" s="128" t="s">
        <v>36</v>
      </c>
      <c r="H46" s="117"/>
      <c r="I46" s="130">
        <v>1410120.1</v>
      </c>
      <c r="J46" s="130">
        <v>1410118.7811199999</v>
      </c>
      <c r="K46" s="130">
        <v>1029476.6</v>
      </c>
      <c r="L46" s="130">
        <v>1029328.57915</v>
      </c>
      <c r="M46" s="130">
        <f t="shared" si="4"/>
        <v>1029476.6</v>
      </c>
      <c r="N46" s="130">
        <f t="shared" si="3"/>
        <v>1029328.57915</v>
      </c>
      <c r="O46" s="130">
        <v>1029476.6</v>
      </c>
      <c r="P46" s="130">
        <v>1029476.6</v>
      </c>
      <c r="Q46" s="117"/>
    </row>
    <row r="47" spans="1:17" ht="83.25" customHeight="1" x14ac:dyDescent="0.3">
      <c r="A47" s="133" t="s">
        <v>82</v>
      </c>
      <c r="B47" s="122" t="s">
        <v>83</v>
      </c>
      <c r="C47" s="120" t="s">
        <v>32</v>
      </c>
      <c r="D47" s="128" t="s">
        <v>33</v>
      </c>
      <c r="E47" s="128" t="s">
        <v>34</v>
      </c>
      <c r="F47" s="128" t="s">
        <v>84</v>
      </c>
      <c r="G47" s="118" t="s">
        <v>85</v>
      </c>
      <c r="H47" s="117"/>
      <c r="I47" s="130">
        <v>330836.40000000002</v>
      </c>
      <c r="J47" s="130">
        <v>275570.32767999999</v>
      </c>
      <c r="K47" s="130">
        <v>385736.3</v>
      </c>
      <c r="L47" s="130">
        <v>385185.78047</v>
      </c>
      <c r="M47" s="130">
        <f t="shared" si="4"/>
        <v>385736.3</v>
      </c>
      <c r="N47" s="130">
        <f t="shared" si="3"/>
        <v>385185.78047</v>
      </c>
      <c r="O47" s="130">
        <v>203912.9</v>
      </c>
      <c r="P47" s="130">
        <v>214606.8</v>
      </c>
      <c r="Q47" s="117"/>
    </row>
    <row r="48" spans="1:17" ht="111.75" customHeight="1" x14ac:dyDescent="0.3">
      <c r="A48" s="133" t="s">
        <v>86</v>
      </c>
      <c r="B48" s="122" t="s">
        <v>87</v>
      </c>
      <c r="C48" s="120" t="s">
        <v>32</v>
      </c>
      <c r="D48" s="128" t="s">
        <v>33</v>
      </c>
      <c r="E48" s="128" t="s">
        <v>34</v>
      </c>
      <c r="F48" s="128" t="s">
        <v>88</v>
      </c>
      <c r="G48" s="131">
        <v>610</v>
      </c>
      <c r="H48" s="117"/>
      <c r="I48" s="130">
        <v>75000</v>
      </c>
      <c r="J48" s="130">
        <v>75000</v>
      </c>
      <c r="K48" s="130">
        <v>75000</v>
      </c>
      <c r="L48" s="130">
        <f t="shared" ref="L48" si="5">K48</f>
        <v>75000</v>
      </c>
      <c r="M48" s="130">
        <f t="shared" si="4"/>
        <v>75000</v>
      </c>
      <c r="N48" s="130">
        <f t="shared" si="3"/>
        <v>75000</v>
      </c>
      <c r="O48" s="130">
        <v>75000</v>
      </c>
      <c r="P48" s="130">
        <v>75000</v>
      </c>
      <c r="Q48" s="117"/>
    </row>
    <row r="49" spans="1:17" ht="150" customHeight="1" x14ac:dyDescent="0.25">
      <c r="A49" s="122" t="s">
        <v>89</v>
      </c>
      <c r="B49" s="122" t="s">
        <v>90</v>
      </c>
      <c r="C49" s="120" t="s">
        <v>32</v>
      </c>
      <c r="D49" s="128" t="s">
        <v>33</v>
      </c>
      <c r="E49" s="128" t="s">
        <v>34</v>
      </c>
      <c r="F49" s="128" t="s">
        <v>91</v>
      </c>
      <c r="G49" s="128" t="s">
        <v>92</v>
      </c>
      <c r="H49" s="129"/>
      <c r="I49" s="130">
        <v>47616.3</v>
      </c>
      <c r="J49" s="130">
        <v>47586.495750000002</v>
      </c>
      <c r="K49" s="130">
        <v>45122.7</v>
      </c>
      <c r="L49" s="130">
        <v>45122.711900000002</v>
      </c>
      <c r="M49" s="130">
        <f t="shared" si="4"/>
        <v>45122.7</v>
      </c>
      <c r="N49" s="130">
        <f t="shared" si="3"/>
        <v>45122.711900000002</v>
      </c>
      <c r="O49" s="130">
        <v>50000</v>
      </c>
      <c r="P49" s="130">
        <v>50000</v>
      </c>
      <c r="Q49" s="131"/>
    </row>
    <row r="50" spans="1:17" ht="70.5" customHeight="1" x14ac:dyDescent="0.25">
      <c r="A50" s="122" t="s">
        <v>93</v>
      </c>
      <c r="B50" s="122" t="s">
        <v>94</v>
      </c>
      <c r="C50" s="120" t="s">
        <v>32</v>
      </c>
      <c r="D50" s="128" t="s">
        <v>33</v>
      </c>
      <c r="E50" s="128" t="s">
        <v>34</v>
      </c>
      <c r="F50" s="128" t="s">
        <v>95</v>
      </c>
      <c r="G50" s="128" t="s">
        <v>36</v>
      </c>
      <c r="H50" s="129"/>
      <c r="I50" s="130">
        <v>358451.6</v>
      </c>
      <c r="J50" s="130">
        <v>358451.58129</v>
      </c>
      <c r="K50" s="130">
        <v>435999.8</v>
      </c>
      <c r="L50" s="130">
        <v>435999.77782000002</v>
      </c>
      <c r="M50" s="130">
        <f t="shared" si="4"/>
        <v>435999.8</v>
      </c>
      <c r="N50" s="130">
        <f t="shared" si="3"/>
        <v>435999.77782000002</v>
      </c>
      <c r="O50" s="130">
        <v>221349.3</v>
      </c>
      <c r="P50" s="130">
        <v>221349.3</v>
      </c>
      <c r="Q50" s="131"/>
    </row>
    <row r="51" spans="1:17" ht="58.5" customHeight="1" x14ac:dyDescent="0.25">
      <c r="A51" s="122" t="s">
        <v>96</v>
      </c>
      <c r="B51" s="122" t="s">
        <v>97</v>
      </c>
      <c r="C51" s="120" t="s">
        <v>32</v>
      </c>
      <c r="D51" s="128" t="s">
        <v>33</v>
      </c>
      <c r="E51" s="128" t="s">
        <v>34</v>
      </c>
      <c r="F51" s="128" t="s">
        <v>98</v>
      </c>
      <c r="G51" s="128" t="s">
        <v>36</v>
      </c>
      <c r="H51" s="129"/>
      <c r="I51" s="130">
        <v>23018.1</v>
      </c>
      <c r="J51" s="130">
        <v>22886.581699999999</v>
      </c>
      <c r="K51" s="130">
        <v>2634.2</v>
      </c>
      <c r="L51" s="130">
        <v>2385.50155</v>
      </c>
      <c r="M51" s="130">
        <f t="shared" si="4"/>
        <v>2634.2</v>
      </c>
      <c r="N51" s="130">
        <f t="shared" si="3"/>
        <v>2385.50155</v>
      </c>
      <c r="O51" s="130"/>
      <c r="P51" s="130"/>
      <c r="Q51" s="131"/>
    </row>
    <row r="52" spans="1:17" ht="68.25" customHeight="1" x14ac:dyDescent="0.25">
      <c r="A52" s="122" t="s">
        <v>99</v>
      </c>
      <c r="B52" s="122" t="s">
        <v>100</v>
      </c>
      <c r="C52" s="120" t="s">
        <v>32</v>
      </c>
      <c r="D52" s="128" t="s">
        <v>33</v>
      </c>
      <c r="E52" s="128" t="s">
        <v>34</v>
      </c>
      <c r="F52" s="128" t="s">
        <v>101</v>
      </c>
      <c r="G52" s="128" t="s">
        <v>36</v>
      </c>
      <c r="H52" s="129"/>
      <c r="I52" s="130">
        <v>59347.1</v>
      </c>
      <c r="J52" s="130">
        <v>59347.050759999998</v>
      </c>
      <c r="K52" s="130">
        <v>54572.7</v>
      </c>
      <c r="L52" s="130">
        <v>50395.3871</v>
      </c>
      <c r="M52" s="130">
        <f t="shared" si="4"/>
        <v>54572.7</v>
      </c>
      <c r="N52" s="130">
        <f t="shared" si="3"/>
        <v>50395.3871</v>
      </c>
      <c r="O52" s="130">
        <v>69898.600000000006</v>
      </c>
      <c r="P52" s="130">
        <v>69863.3</v>
      </c>
      <c r="Q52" s="131"/>
    </row>
    <row r="53" spans="1:17" ht="248.25" customHeight="1" x14ac:dyDescent="0.25">
      <c r="A53" s="122" t="s">
        <v>102</v>
      </c>
      <c r="B53" s="122" t="s">
        <v>103</v>
      </c>
      <c r="C53" s="120" t="s">
        <v>32</v>
      </c>
      <c r="D53" s="128" t="s">
        <v>33</v>
      </c>
      <c r="E53" s="128" t="s">
        <v>34</v>
      </c>
      <c r="F53" s="128" t="s">
        <v>104</v>
      </c>
      <c r="G53" s="128" t="s">
        <v>39</v>
      </c>
      <c r="H53" s="129"/>
      <c r="I53" s="130">
        <v>16207.2</v>
      </c>
      <c r="J53" s="130">
        <v>16207.237800000001</v>
      </c>
      <c r="K53" s="130">
        <v>2419.5</v>
      </c>
      <c r="L53" s="130">
        <v>2419.5416700000001</v>
      </c>
      <c r="M53" s="130">
        <f t="shared" si="4"/>
        <v>2419.5</v>
      </c>
      <c r="N53" s="130">
        <f t="shared" si="3"/>
        <v>2419.5416700000001</v>
      </c>
      <c r="O53" s="130">
        <v>56300</v>
      </c>
      <c r="P53" s="130">
        <v>56300</v>
      </c>
      <c r="Q53" s="131"/>
    </row>
    <row r="54" spans="1:17" ht="146.25" customHeight="1" x14ac:dyDescent="0.25">
      <c r="A54" s="122" t="s">
        <v>105</v>
      </c>
      <c r="B54" s="122" t="s">
        <v>106</v>
      </c>
      <c r="C54" s="120" t="s">
        <v>32</v>
      </c>
      <c r="D54" s="128" t="s">
        <v>33</v>
      </c>
      <c r="E54" s="128" t="s">
        <v>34</v>
      </c>
      <c r="F54" s="128" t="s">
        <v>107</v>
      </c>
      <c r="G54" s="128" t="s">
        <v>39</v>
      </c>
      <c r="H54" s="129"/>
      <c r="I54" s="130">
        <v>126258.8</v>
      </c>
      <c r="J54" s="130">
        <v>126258.7974</v>
      </c>
      <c r="K54" s="130">
        <v>62064.7</v>
      </c>
      <c r="L54" s="130">
        <v>62064.700001999998</v>
      </c>
      <c r="M54" s="130">
        <f t="shared" si="4"/>
        <v>62064.7</v>
      </c>
      <c r="N54" s="130">
        <f t="shared" si="3"/>
        <v>62064.700001999998</v>
      </c>
      <c r="O54" s="130">
        <v>70000</v>
      </c>
      <c r="P54" s="130">
        <v>70000</v>
      </c>
      <c r="Q54" s="130"/>
    </row>
    <row r="55" spans="1:17" ht="93" customHeight="1" x14ac:dyDescent="0.3">
      <c r="A55" s="122" t="s">
        <v>108</v>
      </c>
      <c r="B55" s="122" t="s">
        <v>109</v>
      </c>
      <c r="C55" s="120" t="s">
        <v>287</v>
      </c>
      <c r="D55" s="128" t="s">
        <v>111</v>
      </c>
      <c r="E55" s="128" t="s">
        <v>34</v>
      </c>
      <c r="F55" s="128" t="s">
        <v>112</v>
      </c>
      <c r="G55" s="128" t="s">
        <v>92</v>
      </c>
      <c r="H55" s="124"/>
      <c r="I55" s="130">
        <v>89126.9</v>
      </c>
      <c r="J55" s="130">
        <v>88574.1</v>
      </c>
      <c r="K55" s="130">
        <v>89126.9</v>
      </c>
      <c r="L55" s="130">
        <v>89119.184349999996</v>
      </c>
      <c r="M55" s="130">
        <f t="shared" si="4"/>
        <v>89126.9</v>
      </c>
      <c r="N55" s="130">
        <f t="shared" si="3"/>
        <v>89119.184349999996</v>
      </c>
      <c r="O55" s="130">
        <v>89126.9</v>
      </c>
      <c r="P55" s="130">
        <v>89126.9</v>
      </c>
      <c r="Q55" s="134"/>
    </row>
    <row r="56" spans="1:17" ht="198" customHeight="1" x14ac:dyDescent="0.3">
      <c r="A56" s="122" t="s">
        <v>113</v>
      </c>
      <c r="B56" s="122" t="s">
        <v>114</v>
      </c>
      <c r="C56" s="120" t="s">
        <v>32</v>
      </c>
      <c r="D56" s="128" t="s">
        <v>33</v>
      </c>
      <c r="E56" s="128" t="s">
        <v>34</v>
      </c>
      <c r="F56" s="128" t="s">
        <v>115</v>
      </c>
      <c r="G56" s="128" t="s">
        <v>36</v>
      </c>
      <c r="H56" s="124"/>
      <c r="I56" s="130"/>
      <c r="J56" s="130"/>
      <c r="K56" s="130">
        <v>909883.9</v>
      </c>
      <c r="L56" s="130">
        <v>925373.77845999994</v>
      </c>
      <c r="M56" s="130">
        <f t="shared" si="4"/>
        <v>909883.9</v>
      </c>
      <c r="N56" s="130">
        <f t="shared" si="3"/>
        <v>925373.77845999994</v>
      </c>
      <c r="O56" s="130"/>
      <c r="P56" s="130"/>
      <c r="Q56" s="134"/>
    </row>
    <row r="57" spans="1:17" ht="40.5" customHeight="1" x14ac:dyDescent="0.3">
      <c r="A57" s="123" t="s">
        <v>116</v>
      </c>
      <c r="B57" s="186" t="s">
        <v>117</v>
      </c>
      <c r="C57" s="186"/>
      <c r="D57" s="126"/>
      <c r="E57" s="126"/>
      <c r="F57" s="126"/>
      <c r="G57" s="135"/>
      <c r="H57" s="135"/>
      <c r="I57" s="125">
        <f>SUM(I58:I62)</f>
        <v>92145.4</v>
      </c>
      <c r="J57" s="125">
        <f t="shared" ref="J57:P57" si="6">SUM(J58:J62)</f>
        <v>92145.169480000011</v>
      </c>
      <c r="K57" s="125">
        <f t="shared" si="6"/>
        <v>51082.6</v>
      </c>
      <c r="L57" s="125">
        <f t="shared" si="6"/>
        <v>43173.365239999999</v>
      </c>
      <c r="M57" s="125">
        <f t="shared" si="6"/>
        <v>51082.6</v>
      </c>
      <c r="N57" s="125">
        <f t="shared" si="6"/>
        <v>43173.365239999999</v>
      </c>
      <c r="O57" s="125">
        <f t="shared" si="6"/>
        <v>43154.1</v>
      </c>
      <c r="P57" s="125">
        <f t="shared" si="6"/>
        <v>50514.8</v>
      </c>
      <c r="Q57" s="135"/>
    </row>
    <row r="58" spans="1:17" ht="105.75" customHeight="1" x14ac:dyDescent="0.3">
      <c r="A58" s="122" t="s">
        <v>118</v>
      </c>
      <c r="B58" s="122" t="s">
        <v>119</v>
      </c>
      <c r="C58" s="120" t="s">
        <v>32</v>
      </c>
      <c r="D58" s="128" t="s">
        <v>33</v>
      </c>
      <c r="E58" s="128" t="s">
        <v>34</v>
      </c>
      <c r="F58" s="128" t="s">
        <v>120</v>
      </c>
      <c r="G58" s="128" t="s">
        <v>36</v>
      </c>
      <c r="H58" s="124"/>
      <c r="I58" s="130">
        <v>11676.7</v>
      </c>
      <c r="J58" s="130">
        <v>11676.68226</v>
      </c>
      <c r="K58" s="130">
        <v>4707</v>
      </c>
      <c r="L58" s="130">
        <f>1365.04225+3342</f>
        <v>4707.0422500000004</v>
      </c>
      <c r="M58" s="130">
        <f t="shared" ref="M58:N62" si="7">K58</f>
        <v>4707</v>
      </c>
      <c r="N58" s="130">
        <f t="shared" si="7"/>
        <v>4707.0422500000004</v>
      </c>
      <c r="O58" s="130">
        <v>3982.5</v>
      </c>
      <c r="P58" s="130">
        <v>4657.5</v>
      </c>
      <c r="Q58" s="134"/>
    </row>
    <row r="59" spans="1:17" ht="94.5" customHeight="1" x14ac:dyDescent="0.3">
      <c r="A59" s="122" t="s">
        <v>121</v>
      </c>
      <c r="B59" s="122" t="s">
        <v>122</v>
      </c>
      <c r="C59" s="120" t="s">
        <v>32</v>
      </c>
      <c r="D59" s="128" t="s">
        <v>33</v>
      </c>
      <c r="E59" s="128" t="s">
        <v>34</v>
      </c>
      <c r="F59" s="128" t="s">
        <v>123</v>
      </c>
      <c r="G59" s="128" t="s">
        <v>36</v>
      </c>
      <c r="H59" s="124"/>
      <c r="I59" s="130">
        <v>59630.6</v>
      </c>
      <c r="J59" s="130">
        <v>59630.424950000001</v>
      </c>
      <c r="K59" s="130">
        <v>24652.799999999999</v>
      </c>
      <c r="L59" s="130">
        <f>1628.57465+5520.74225+3987.2+13516.29999</f>
        <v>24652.816889999998</v>
      </c>
      <c r="M59" s="130">
        <f t="shared" si="7"/>
        <v>24652.799999999999</v>
      </c>
      <c r="N59" s="130">
        <f t="shared" si="7"/>
        <v>24652.816889999998</v>
      </c>
      <c r="O59" s="130">
        <v>20857.5</v>
      </c>
      <c r="P59" s="130">
        <v>24392.7</v>
      </c>
      <c r="Q59" s="134"/>
    </row>
    <row r="60" spans="1:17" ht="114.75" customHeight="1" x14ac:dyDescent="0.3">
      <c r="A60" s="122" t="s">
        <v>124</v>
      </c>
      <c r="B60" s="122" t="s">
        <v>125</v>
      </c>
      <c r="C60" s="120" t="s">
        <v>32</v>
      </c>
      <c r="D60" s="128" t="s">
        <v>33</v>
      </c>
      <c r="E60" s="128" t="s">
        <v>34</v>
      </c>
      <c r="F60" s="128" t="s">
        <v>126</v>
      </c>
      <c r="G60" s="128" t="s">
        <v>36</v>
      </c>
      <c r="H60" s="124"/>
      <c r="I60" s="130">
        <v>3803.5</v>
      </c>
      <c r="J60" s="130">
        <v>3803.50848</v>
      </c>
      <c r="K60" s="130">
        <v>533.1</v>
      </c>
      <c r="L60" s="130">
        <f>154.59859+378.5</f>
        <v>533.09859000000006</v>
      </c>
      <c r="M60" s="130">
        <f t="shared" si="7"/>
        <v>533.1</v>
      </c>
      <c r="N60" s="130">
        <f t="shared" si="7"/>
        <v>533.09859000000006</v>
      </c>
      <c r="O60" s="130">
        <v>452.6</v>
      </c>
      <c r="P60" s="130">
        <v>575.79999999999995</v>
      </c>
      <c r="Q60" s="134"/>
    </row>
    <row r="61" spans="1:17" ht="162.75" customHeight="1" x14ac:dyDescent="0.3">
      <c r="A61" s="122" t="s">
        <v>127</v>
      </c>
      <c r="B61" s="122" t="s">
        <v>128</v>
      </c>
      <c r="C61" s="120" t="s">
        <v>32</v>
      </c>
      <c r="D61" s="128" t="s">
        <v>33</v>
      </c>
      <c r="E61" s="128" t="s">
        <v>34</v>
      </c>
      <c r="F61" s="128" t="s">
        <v>129</v>
      </c>
      <c r="G61" s="128" t="s">
        <v>36</v>
      </c>
      <c r="H61" s="124"/>
      <c r="I61" s="130">
        <v>17034.599999999999</v>
      </c>
      <c r="J61" s="130">
        <v>17034.553790000002</v>
      </c>
      <c r="K61" s="130">
        <v>13014.1</v>
      </c>
      <c r="L61" s="130">
        <f>3094.91268+679.17183+7577.2+1662.8</f>
        <v>13014.084509999999</v>
      </c>
      <c r="M61" s="130">
        <f t="shared" si="7"/>
        <v>13014.1</v>
      </c>
      <c r="N61" s="130">
        <f t="shared" si="7"/>
        <v>13014.084509999999</v>
      </c>
      <c r="O61" s="130">
        <v>11010.6</v>
      </c>
      <c r="P61" s="130">
        <v>12876.8</v>
      </c>
      <c r="Q61" s="134"/>
    </row>
    <row r="62" spans="1:17" ht="140.25" customHeight="1" x14ac:dyDescent="0.3">
      <c r="A62" s="122" t="s">
        <v>130</v>
      </c>
      <c r="B62" s="122" t="s">
        <v>131</v>
      </c>
      <c r="C62" s="120" t="s">
        <v>32</v>
      </c>
      <c r="D62" s="128" t="s">
        <v>33</v>
      </c>
      <c r="E62" s="128" t="s">
        <v>34</v>
      </c>
      <c r="F62" s="128" t="s">
        <v>132</v>
      </c>
      <c r="G62" s="128" t="s">
        <v>36</v>
      </c>
      <c r="H62" s="124"/>
      <c r="I62" s="130"/>
      <c r="J62" s="130"/>
      <c r="K62" s="130">
        <v>8175.6</v>
      </c>
      <c r="L62" s="130">
        <f>18.72907+58.5046+45.85393+143.2354</f>
        <v>266.32299999999998</v>
      </c>
      <c r="M62" s="130">
        <f t="shared" si="7"/>
        <v>8175.6</v>
      </c>
      <c r="N62" s="130">
        <f t="shared" si="7"/>
        <v>266.32299999999998</v>
      </c>
      <c r="O62" s="130">
        <v>6850.9</v>
      </c>
      <c r="P62" s="130">
        <v>8012</v>
      </c>
      <c r="Q62" s="134"/>
    </row>
    <row r="63" spans="1:17" ht="40.5" customHeight="1" x14ac:dyDescent="0.3">
      <c r="A63" s="123" t="s">
        <v>133</v>
      </c>
      <c r="B63" s="186" t="s">
        <v>134</v>
      </c>
      <c r="C63" s="186"/>
      <c r="D63" s="126"/>
      <c r="E63" s="126"/>
      <c r="F63" s="126"/>
      <c r="G63" s="117"/>
      <c r="H63" s="117"/>
      <c r="I63" s="127">
        <f>SUM(I64:I73)</f>
        <v>1101867.3999999999</v>
      </c>
      <c r="J63" s="127">
        <f t="shared" ref="J63:P63" si="8">SUM(J64:J73)</f>
        <v>1383794.68585</v>
      </c>
      <c r="K63" s="127">
        <f t="shared" si="8"/>
        <v>921783.51965999987</v>
      </c>
      <c r="L63" s="127">
        <f t="shared" si="8"/>
        <v>914774.42765999993</v>
      </c>
      <c r="M63" s="127">
        <f t="shared" si="8"/>
        <v>921783.51965999987</v>
      </c>
      <c r="N63" s="127">
        <f t="shared" si="8"/>
        <v>914774.42765999993</v>
      </c>
      <c r="O63" s="127">
        <f t="shared" si="8"/>
        <v>1046026.8</v>
      </c>
      <c r="P63" s="127">
        <f t="shared" si="8"/>
        <v>822577.60000000009</v>
      </c>
      <c r="Q63" s="117"/>
    </row>
    <row r="64" spans="1:17" ht="103.5" customHeight="1" x14ac:dyDescent="0.3">
      <c r="A64" s="122" t="s">
        <v>135</v>
      </c>
      <c r="B64" s="122" t="s">
        <v>136</v>
      </c>
      <c r="C64" s="120" t="s">
        <v>32</v>
      </c>
      <c r="D64" s="128" t="s">
        <v>33</v>
      </c>
      <c r="E64" s="128" t="s">
        <v>34</v>
      </c>
      <c r="F64" s="128" t="s">
        <v>137</v>
      </c>
      <c r="G64" s="128" t="s">
        <v>36</v>
      </c>
      <c r="H64" s="124"/>
      <c r="I64" s="130"/>
      <c r="J64" s="130"/>
      <c r="K64" s="130">
        <v>30000</v>
      </c>
      <c r="L64" s="130">
        <f t="shared" ref="L64" si="9">K64</f>
        <v>30000</v>
      </c>
      <c r="M64" s="130">
        <f t="shared" ref="M64:N73" si="10">K64</f>
        <v>30000</v>
      </c>
      <c r="N64" s="130">
        <f t="shared" si="10"/>
        <v>30000</v>
      </c>
      <c r="O64" s="130">
        <v>419421.5</v>
      </c>
      <c r="P64" s="130">
        <v>206907.9</v>
      </c>
      <c r="Q64" s="134"/>
    </row>
    <row r="65" spans="1:17" ht="264.75" customHeight="1" x14ac:dyDescent="0.3">
      <c r="A65" s="122" t="s">
        <v>138</v>
      </c>
      <c r="B65" s="122" t="s">
        <v>139</v>
      </c>
      <c r="C65" s="120" t="s">
        <v>32</v>
      </c>
      <c r="D65" s="128" t="s">
        <v>33</v>
      </c>
      <c r="E65" s="128" t="s">
        <v>34</v>
      </c>
      <c r="F65" s="128" t="s">
        <v>140</v>
      </c>
      <c r="G65" s="128" t="s">
        <v>36</v>
      </c>
      <c r="H65" s="124"/>
      <c r="I65" s="130">
        <v>823462.8</v>
      </c>
      <c r="J65" s="130">
        <v>823462.7733</v>
      </c>
      <c r="K65" s="130">
        <v>831006.1</v>
      </c>
      <c r="L65" s="130">
        <v>831006.06498000002</v>
      </c>
      <c r="M65" s="130">
        <f t="shared" si="10"/>
        <v>831006.1</v>
      </c>
      <c r="N65" s="130">
        <f t="shared" si="10"/>
        <v>831006.06498000002</v>
      </c>
      <c r="O65" s="130">
        <v>610826.9</v>
      </c>
      <c r="P65" s="130">
        <v>610826.9</v>
      </c>
      <c r="Q65" s="134"/>
    </row>
    <row r="66" spans="1:17" ht="105.75" customHeight="1" x14ac:dyDescent="0.3">
      <c r="A66" s="122" t="s">
        <v>141</v>
      </c>
      <c r="B66" s="122" t="s">
        <v>142</v>
      </c>
      <c r="C66" s="120" t="s">
        <v>32</v>
      </c>
      <c r="D66" s="128" t="s">
        <v>33</v>
      </c>
      <c r="E66" s="128" t="s">
        <v>34</v>
      </c>
      <c r="F66" s="128" t="s">
        <v>143</v>
      </c>
      <c r="G66" s="128" t="s">
        <v>39</v>
      </c>
      <c r="H66" s="124"/>
      <c r="I66" s="130"/>
      <c r="J66" s="130"/>
      <c r="K66" s="130"/>
      <c r="L66" s="130">
        <f t="shared" ref="L66:L73" si="11">K66</f>
        <v>0</v>
      </c>
      <c r="M66" s="130">
        <f t="shared" si="10"/>
        <v>0</v>
      </c>
      <c r="N66" s="130">
        <f t="shared" si="10"/>
        <v>0</v>
      </c>
      <c r="O66" s="130">
        <v>3000</v>
      </c>
      <c r="P66" s="130">
        <v>3000</v>
      </c>
      <c r="Q66" s="134"/>
    </row>
    <row r="67" spans="1:17" ht="81" customHeight="1" x14ac:dyDescent="0.3">
      <c r="A67" s="122" t="s">
        <v>144</v>
      </c>
      <c r="B67" s="122" t="s">
        <v>145</v>
      </c>
      <c r="C67" s="120" t="s">
        <v>32</v>
      </c>
      <c r="D67" s="128" t="s">
        <v>33</v>
      </c>
      <c r="E67" s="128" t="s">
        <v>34</v>
      </c>
      <c r="F67" s="128" t="s">
        <v>146</v>
      </c>
      <c r="G67" s="128" t="s">
        <v>36</v>
      </c>
      <c r="H67" s="124"/>
      <c r="I67" s="130">
        <v>1918</v>
      </c>
      <c r="J67" s="130">
        <v>1917.7003199999999</v>
      </c>
      <c r="K67" s="130">
        <v>282.02107000000001</v>
      </c>
      <c r="L67" s="130">
        <v>282.02107000000001</v>
      </c>
      <c r="M67" s="130">
        <f t="shared" si="10"/>
        <v>282.02107000000001</v>
      </c>
      <c r="N67" s="130">
        <f t="shared" si="10"/>
        <v>282.02107000000001</v>
      </c>
      <c r="O67" s="130"/>
      <c r="P67" s="130"/>
      <c r="Q67" s="134"/>
    </row>
    <row r="68" spans="1:17" ht="73.5" customHeight="1" x14ac:dyDescent="0.3">
      <c r="A68" s="122" t="s">
        <v>147</v>
      </c>
      <c r="B68" s="122" t="s">
        <v>148</v>
      </c>
      <c r="C68" s="120" t="s">
        <v>32</v>
      </c>
      <c r="D68" s="128" t="s">
        <v>33</v>
      </c>
      <c r="E68" s="128" t="s">
        <v>34</v>
      </c>
      <c r="F68" s="128" t="s">
        <v>149</v>
      </c>
      <c r="G68" s="128" t="s">
        <v>36</v>
      </c>
      <c r="H68" s="124"/>
      <c r="I68" s="130">
        <v>107981.1</v>
      </c>
      <c r="J68" s="130">
        <v>104725.01737</v>
      </c>
      <c r="K68" s="130">
        <v>50740.5</v>
      </c>
      <c r="L68" s="130">
        <v>50562.302159999999</v>
      </c>
      <c r="M68" s="130">
        <f t="shared" si="10"/>
        <v>50740.5</v>
      </c>
      <c r="N68" s="130">
        <f t="shared" si="10"/>
        <v>50562.302159999999</v>
      </c>
      <c r="O68" s="130">
        <v>12778.4</v>
      </c>
      <c r="P68" s="130">
        <v>1842.8</v>
      </c>
      <c r="Q68" s="134"/>
    </row>
    <row r="69" spans="1:17" ht="78" customHeight="1" x14ac:dyDescent="0.3">
      <c r="A69" s="122" t="s">
        <v>150</v>
      </c>
      <c r="B69" s="122" t="s">
        <v>151</v>
      </c>
      <c r="C69" s="120" t="s">
        <v>32</v>
      </c>
      <c r="D69" s="128" t="s">
        <v>33</v>
      </c>
      <c r="E69" s="128" t="s">
        <v>34</v>
      </c>
      <c r="F69" s="128" t="s">
        <v>152</v>
      </c>
      <c r="G69" s="128" t="s">
        <v>36</v>
      </c>
      <c r="H69" s="124"/>
      <c r="I69" s="130"/>
      <c r="J69" s="130"/>
      <c r="K69" s="130">
        <v>121.1</v>
      </c>
      <c r="L69" s="130">
        <v>120.94086</v>
      </c>
      <c r="M69" s="130">
        <f t="shared" si="10"/>
        <v>121.1</v>
      </c>
      <c r="N69" s="130">
        <f t="shared" si="10"/>
        <v>120.94086</v>
      </c>
      <c r="O69" s="130"/>
      <c r="P69" s="130"/>
      <c r="Q69" s="134"/>
    </row>
    <row r="70" spans="1:17" ht="105" customHeight="1" x14ac:dyDescent="0.3">
      <c r="A70" s="122" t="s">
        <v>153</v>
      </c>
      <c r="B70" s="122" t="s">
        <v>154</v>
      </c>
      <c r="C70" s="120" t="s">
        <v>32</v>
      </c>
      <c r="D70" s="128" t="s">
        <v>33</v>
      </c>
      <c r="E70" s="128" t="s">
        <v>34</v>
      </c>
      <c r="F70" s="128" t="s">
        <v>155</v>
      </c>
      <c r="G70" s="128" t="s">
        <v>36</v>
      </c>
      <c r="H70" s="124"/>
      <c r="I70" s="130">
        <v>7445.2</v>
      </c>
      <c r="J70" s="130">
        <v>7445.21126</v>
      </c>
      <c r="K70" s="130">
        <v>2803.0985900000001</v>
      </c>
      <c r="L70" s="130">
        <f>812.89859+1990.2</f>
        <v>2803.0985900000001</v>
      </c>
      <c r="M70" s="130">
        <f t="shared" si="10"/>
        <v>2803.0985900000001</v>
      </c>
      <c r="N70" s="130">
        <f t="shared" si="10"/>
        <v>2803.0985900000001</v>
      </c>
      <c r="O70" s="130"/>
      <c r="P70" s="130"/>
      <c r="Q70" s="134"/>
    </row>
    <row r="71" spans="1:17" ht="65.25" customHeight="1" x14ac:dyDescent="0.3">
      <c r="A71" s="122"/>
      <c r="B71" s="122" t="s">
        <v>156</v>
      </c>
      <c r="C71" s="120" t="s">
        <v>32</v>
      </c>
      <c r="D71" s="128" t="s">
        <v>33</v>
      </c>
      <c r="E71" s="128" t="s">
        <v>34</v>
      </c>
      <c r="F71" s="128" t="s">
        <v>157</v>
      </c>
      <c r="G71" s="128" t="s">
        <v>36</v>
      </c>
      <c r="H71" s="124"/>
      <c r="I71" s="130">
        <v>160378.1</v>
      </c>
      <c r="J71" s="130"/>
      <c r="K71" s="130">
        <v>6830.7</v>
      </c>
      <c r="L71" s="130"/>
      <c r="M71" s="130">
        <f t="shared" si="10"/>
        <v>6830.7</v>
      </c>
      <c r="N71" s="130">
        <f t="shared" si="10"/>
        <v>0</v>
      </c>
      <c r="O71" s="130"/>
      <c r="P71" s="130"/>
      <c r="Q71" s="134"/>
    </row>
    <row r="72" spans="1:17" ht="78.75" customHeight="1" x14ac:dyDescent="0.3">
      <c r="A72" s="122"/>
      <c r="B72" s="122" t="s">
        <v>158</v>
      </c>
      <c r="C72" s="120" t="s">
        <v>32</v>
      </c>
      <c r="D72" s="128" t="s">
        <v>33</v>
      </c>
      <c r="E72" s="128" t="s">
        <v>34</v>
      </c>
      <c r="F72" s="128" t="s">
        <v>159</v>
      </c>
      <c r="G72" s="128" t="s">
        <v>36</v>
      </c>
      <c r="H72" s="124"/>
      <c r="I72" s="130"/>
      <c r="J72" s="130">
        <v>445563.2</v>
      </c>
      <c r="K72" s="130"/>
      <c r="L72" s="130">
        <f t="shared" si="11"/>
        <v>0</v>
      </c>
      <c r="M72" s="130">
        <f t="shared" si="10"/>
        <v>0</v>
      </c>
      <c r="N72" s="130">
        <f t="shared" si="10"/>
        <v>0</v>
      </c>
      <c r="O72" s="130"/>
      <c r="P72" s="130"/>
      <c r="Q72" s="134"/>
    </row>
    <row r="73" spans="1:17" ht="78.75" customHeight="1" x14ac:dyDescent="0.3">
      <c r="A73" s="122"/>
      <c r="B73" s="122" t="s">
        <v>160</v>
      </c>
      <c r="C73" s="120" t="s">
        <v>32</v>
      </c>
      <c r="D73" s="128" t="s">
        <v>33</v>
      </c>
      <c r="E73" s="128" t="s">
        <v>34</v>
      </c>
      <c r="F73" s="128" t="s">
        <v>161</v>
      </c>
      <c r="G73" s="128" t="s">
        <v>36</v>
      </c>
      <c r="H73" s="124"/>
      <c r="I73" s="130">
        <v>682.2</v>
      </c>
      <c r="J73" s="130">
        <v>680.78359999999998</v>
      </c>
      <c r="K73" s="130"/>
      <c r="L73" s="130">
        <f t="shared" si="11"/>
        <v>0</v>
      </c>
      <c r="M73" s="130">
        <f t="shared" si="10"/>
        <v>0</v>
      </c>
      <c r="N73" s="130">
        <f t="shared" si="10"/>
        <v>0</v>
      </c>
      <c r="O73" s="130"/>
      <c r="P73" s="130"/>
      <c r="Q73" s="134"/>
    </row>
    <row r="74" spans="1:17" ht="40.5" customHeight="1" x14ac:dyDescent="0.3">
      <c r="A74" s="123" t="s">
        <v>162</v>
      </c>
      <c r="B74" s="186" t="s">
        <v>163</v>
      </c>
      <c r="C74" s="186"/>
      <c r="D74" s="126"/>
      <c r="E74" s="126"/>
      <c r="F74" s="126"/>
      <c r="G74" s="117"/>
      <c r="H74" s="117"/>
      <c r="I74" s="127">
        <f>SUM(I75:I76)</f>
        <v>13065.8</v>
      </c>
      <c r="J74" s="127">
        <f t="shared" ref="J74:P74" si="12">SUM(J75:J76)</f>
        <v>4775.6731799999998</v>
      </c>
      <c r="K74" s="127">
        <f t="shared" si="12"/>
        <v>58216.600000000006</v>
      </c>
      <c r="L74" s="127">
        <f t="shared" si="12"/>
        <v>12163.375260000001</v>
      </c>
      <c r="M74" s="127">
        <f t="shared" si="12"/>
        <v>58216.600000000006</v>
      </c>
      <c r="N74" s="127">
        <f t="shared" si="12"/>
        <v>12163.375260000001</v>
      </c>
      <c r="O74" s="127">
        <f t="shared" si="12"/>
        <v>79169.899999999994</v>
      </c>
      <c r="P74" s="127">
        <f t="shared" si="12"/>
        <v>95370.099999999991</v>
      </c>
      <c r="Q74" s="117"/>
    </row>
    <row r="75" spans="1:17" ht="179.25" customHeight="1" x14ac:dyDescent="0.3">
      <c r="A75" s="122" t="s">
        <v>164</v>
      </c>
      <c r="B75" s="122" t="s">
        <v>165</v>
      </c>
      <c r="C75" s="120" t="s">
        <v>32</v>
      </c>
      <c r="D75" s="128" t="s">
        <v>33</v>
      </c>
      <c r="E75" s="128" t="s">
        <v>34</v>
      </c>
      <c r="F75" s="128" t="s">
        <v>166</v>
      </c>
      <c r="G75" s="128" t="s">
        <v>36</v>
      </c>
      <c r="H75" s="124"/>
      <c r="I75" s="130">
        <v>10031.4</v>
      </c>
      <c r="J75" s="130">
        <v>4261.0355</v>
      </c>
      <c r="K75" s="130">
        <v>9342.7999999999993</v>
      </c>
      <c r="L75" s="130">
        <f>2012.84507+4928</f>
        <v>6940.8450700000003</v>
      </c>
      <c r="M75" s="130">
        <f t="shared" ref="M75:N76" si="13">K75</f>
        <v>9342.7999999999993</v>
      </c>
      <c r="N75" s="130">
        <f t="shared" si="13"/>
        <v>6940.8450700000003</v>
      </c>
      <c r="O75" s="130">
        <v>14223.2</v>
      </c>
      <c r="P75" s="130">
        <v>21893.200000000001</v>
      </c>
      <c r="Q75" s="134"/>
    </row>
    <row r="76" spans="1:17" ht="134.25" customHeight="1" x14ac:dyDescent="0.3">
      <c r="A76" s="122" t="s">
        <v>167</v>
      </c>
      <c r="B76" s="122" t="s">
        <v>168</v>
      </c>
      <c r="C76" s="120" t="s">
        <v>32</v>
      </c>
      <c r="D76" s="128" t="s">
        <v>33</v>
      </c>
      <c r="E76" s="128" t="s">
        <v>34</v>
      </c>
      <c r="F76" s="128" t="s">
        <v>169</v>
      </c>
      <c r="G76" s="128" t="s">
        <v>170</v>
      </c>
      <c r="H76" s="124"/>
      <c r="I76" s="130">
        <v>3034.4</v>
      </c>
      <c r="J76" s="130">
        <v>514.63768000000005</v>
      </c>
      <c r="K76" s="130">
        <v>48873.8</v>
      </c>
      <c r="L76" s="130">
        <f>1179.32647+335.20729+2887.31653+820.6799</f>
        <v>5222.5301900000004</v>
      </c>
      <c r="M76" s="130">
        <f t="shared" si="13"/>
        <v>48873.8</v>
      </c>
      <c r="N76" s="130">
        <f t="shared" si="13"/>
        <v>5222.5301900000004</v>
      </c>
      <c r="O76" s="130">
        <v>64946.7</v>
      </c>
      <c r="P76" s="130">
        <v>73476.899999999994</v>
      </c>
      <c r="Q76" s="134"/>
    </row>
    <row r="77" spans="1:17" ht="40.5" customHeight="1" x14ac:dyDescent="0.3">
      <c r="A77" s="123" t="s">
        <v>171</v>
      </c>
      <c r="B77" s="186" t="s">
        <v>172</v>
      </c>
      <c r="C77" s="186"/>
      <c r="D77" s="126"/>
      <c r="E77" s="126"/>
      <c r="F77" s="126"/>
      <c r="G77" s="117"/>
      <c r="H77" s="117"/>
      <c r="I77" s="127">
        <f t="shared" ref="I77:P77" si="14">SUM(I78:I92)</f>
        <v>610222.00000000012</v>
      </c>
      <c r="J77" s="127">
        <f t="shared" si="14"/>
        <v>609258.94306000008</v>
      </c>
      <c r="K77" s="127">
        <f t="shared" si="14"/>
        <v>489150.3</v>
      </c>
      <c r="L77" s="127">
        <f t="shared" si="14"/>
        <v>489102.87004999997</v>
      </c>
      <c r="M77" s="127">
        <f t="shared" si="14"/>
        <v>489150.3</v>
      </c>
      <c r="N77" s="127">
        <f t="shared" si="14"/>
        <v>489102.87004999997</v>
      </c>
      <c r="O77" s="127">
        <f t="shared" si="14"/>
        <v>661801.89999999991</v>
      </c>
      <c r="P77" s="127">
        <f t="shared" si="14"/>
        <v>661801.89999999991</v>
      </c>
      <c r="Q77" s="117"/>
    </row>
    <row r="78" spans="1:17" ht="77.25" customHeight="1" x14ac:dyDescent="0.3">
      <c r="A78" s="122" t="s">
        <v>173</v>
      </c>
      <c r="B78" s="122" t="s">
        <v>174</v>
      </c>
      <c r="C78" s="120" t="s">
        <v>32</v>
      </c>
      <c r="D78" s="128" t="s">
        <v>33</v>
      </c>
      <c r="E78" s="128" t="s">
        <v>34</v>
      </c>
      <c r="F78" s="128" t="s">
        <v>175</v>
      </c>
      <c r="G78" s="128" t="s">
        <v>36</v>
      </c>
      <c r="H78" s="124"/>
      <c r="I78" s="130"/>
      <c r="J78" s="130"/>
      <c r="K78" s="130">
        <v>10000</v>
      </c>
      <c r="L78" s="130">
        <f>2900+7100</f>
        <v>10000</v>
      </c>
      <c r="M78" s="130">
        <f t="shared" ref="M78:N92" si="15">K78</f>
        <v>10000</v>
      </c>
      <c r="N78" s="130">
        <f t="shared" si="15"/>
        <v>10000</v>
      </c>
      <c r="O78" s="130">
        <v>16000</v>
      </c>
      <c r="P78" s="130">
        <v>16000</v>
      </c>
      <c r="Q78" s="134"/>
    </row>
    <row r="79" spans="1:17" ht="81.75" customHeight="1" x14ac:dyDescent="0.3">
      <c r="A79" s="122" t="s">
        <v>176</v>
      </c>
      <c r="B79" s="122" t="s">
        <v>177</v>
      </c>
      <c r="C79" s="120" t="s">
        <v>32</v>
      </c>
      <c r="D79" s="128" t="s">
        <v>33</v>
      </c>
      <c r="E79" s="128" t="s">
        <v>34</v>
      </c>
      <c r="F79" s="128" t="s">
        <v>178</v>
      </c>
      <c r="G79" s="128" t="s">
        <v>36</v>
      </c>
      <c r="H79" s="124"/>
      <c r="I79" s="130">
        <v>100000</v>
      </c>
      <c r="J79" s="130">
        <v>100000</v>
      </c>
      <c r="K79" s="130">
        <v>120000</v>
      </c>
      <c r="L79" s="130">
        <f t="shared" ref="L79:L92" si="16">K79</f>
        <v>120000</v>
      </c>
      <c r="M79" s="130">
        <f t="shared" si="15"/>
        <v>120000</v>
      </c>
      <c r="N79" s="130">
        <f t="shared" si="15"/>
        <v>120000</v>
      </c>
      <c r="O79" s="130">
        <v>120000</v>
      </c>
      <c r="P79" s="130">
        <v>120000</v>
      </c>
      <c r="Q79" s="134"/>
    </row>
    <row r="80" spans="1:17" ht="144" customHeight="1" x14ac:dyDescent="0.3">
      <c r="A80" s="122" t="s">
        <v>179</v>
      </c>
      <c r="B80" s="122" t="s">
        <v>180</v>
      </c>
      <c r="C80" s="120" t="s">
        <v>32</v>
      </c>
      <c r="D80" s="128" t="s">
        <v>33</v>
      </c>
      <c r="E80" s="128" t="s">
        <v>34</v>
      </c>
      <c r="F80" s="128" t="s">
        <v>181</v>
      </c>
      <c r="G80" s="128" t="s">
        <v>36</v>
      </c>
      <c r="H80" s="124"/>
      <c r="I80" s="130">
        <v>92700</v>
      </c>
      <c r="J80" s="130">
        <v>92700</v>
      </c>
      <c r="K80" s="130">
        <v>35000</v>
      </c>
      <c r="L80" s="130">
        <f t="shared" si="16"/>
        <v>35000</v>
      </c>
      <c r="M80" s="130">
        <f t="shared" si="15"/>
        <v>35000</v>
      </c>
      <c r="N80" s="130">
        <f t="shared" si="15"/>
        <v>35000</v>
      </c>
      <c r="O80" s="130">
        <v>80000</v>
      </c>
      <c r="P80" s="130">
        <v>80000</v>
      </c>
      <c r="Q80" s="134"/>
    </row>
    <row r="81" spans="1:17" ht="100.5" customHeight="1" x14ac:dyDescent="0.3">
      <c r="A81" s="122" t="s">
        <v>182</v>
      </c>
      <c r="B81" s="122" t="s">
        <v>183</v>
      </c>
      <c r="C81" s="120" t="s">
        <v>32</v>
      </c>
      <c r="D81" s="128" t="s">
        <v>33</v>
      </c>
      <c r="E81" s="128" t="s">
        <v>34</v>
      </c>
      <c r="F81" s="128" t="s">
        <v>184</v>
      </c>
      <c r="G81" s="128" t="s">
        <v>36</v>
      </c>
      <c r="H81" s="124"/>
      <c r="I81" s="130">
        <v>9000</v>
      </c>
      <c r="J81" s="130">
        <v>9000</v>
      </c>
      <c r="K81" s="130">
        <v>3000</v>
      </c>
      <c r="L81" s="130">
        <v>2980</v>
      </c>
      <c r="M81" s="130">
        <f t="shared" si="15"/>
        <v>3000</v>
      </c>
      <c r="N81" s="130">
        <f t="shared" si="15"/>
        <v>2980</v>
      </c>
      <c r="O81" s="130">
        <v>9000</v>
      </c>
      <c r="P81" s="130">
        <v>9000</v>
      </c>
      <c r="Q81" s="134"/>
    </row>
    <row r="82" spans="1:17" ht="89.25" customHeight="1" x14ac:dyDescent="0.3">
      <c r="A82" s="122" t="s">
        <v>185</v>
      </c>
      <c r="B82" s="122" t="s">
        <v>186</v>
      </c>
      <c r="C82" s="120" t="s">
        <v>32</v>
      </c>
      <c r="D82" s="128" t="s">
        <v>33</v>
      </c>
      <c r="E82" s="128" t="s">
        <v>34</v>
      </c>
      <c r="F82" s="128" t="s">
        <v>187</v>
      </c>
      <c r="G82" s="128" t="s">
        <v>39</v>
      </c>
      <c r="H82" s="124"/>
      <c r="I82" s="130">
        <v>208566.6</v>
      </c>
      <c r="J82" s="130">
        <v>208566.60560000001</v>
      </c>
      <c r="K82" s="130">
        <v>157481.20000000001</v>
      </c>
      <c r="L82" s="130">
        <v>157481.1912</v>
      </c>
      <c r="M82" s="130">
        <f t="shared" si="15"/>
        <v>157481.20000000001</v>
      </c>
      <c r="N82" s="130">
        <f t="shared" si="15"/>
        <v>157481.1912</v>
      </c>
      <c r="O82" s="130">
        <v>189488.4</v>
      </c>
      <c r="P82" s="130">
        <v>189488.4</v>
      </c>
      <c r="Q82" s="134"/>
    </row>
    <row r="83" spans="1:17" ht="129.75" customHeight="1" x14ac:dyDescent="0.3">
      <c r="A83" s="122" t="s">
        <v>188</v>
      </c>
      <c r="B83" s="122" t="s">
        <v>189</v>
      </c>
      <c r="C83" s="120" t="s">
        <v>32</v>
      </c>
      <c r="D83" s="128" t="s">
        <v>33</v>
      </c>
      <c r="E83" s="128" t="s">
        <v>34</v>
      </c>
      <c r="F83" s="128" t="s">
        <v>190</v>
      </c>
      <c r="G83" s="128" t="s">
        <v>36</v>
      </c>
      <c r="H83" s="124"/>
      <c r="I83" s="130">
        <v>22167.4</v>
      </c>
      <c r="J83" s="130">
        <v>22167.4</v>
      </c>
      <c r="K83" s="130">
        <v>30000</v>
      </c>
      <c r="L83" s="130">
        <f t="shared" si="16"/>
        <v>30000</v>
      </c>
      <c r="M83" s="130">
        <f t="shared" si="15"/>
        <v>30000</v>
      </c>
      <c r="N83" s="130">
        <f t="shared" si="15"/>
        <v>30000</v>
      </c>
      <c r="O83" s="130">
        <v>30000</v>
      </c>
      <c r="P83" s="130">
        <v>30000</v>
      </c>
      <c r="Q83" s="134"/>
    </row>
    <row r="84" spans="1:17" ht="188.25" customHeight="1" x14ac:dyDescent="0.3">
      <c r="A84" s="122" t="s">
        <v>191</v>
      </c>
      <c r="B84" s="122" t="s">
        <v>192</v>
      </c>
      <c r="C84" s="120" t="s">
        <v>32</v>
      </c>
      <c r="D84" s="128" t="s">
        <v>33</v>
      </c>
      <c r="E84" s="128" t="s">
        <v>34</v>
      </c>
      <c r="F84" s="128" t="s">
        <v>193</v>
      </c>
      <c r="G84" s="128" t="s">
        <v>39</v>
      </c>
      <c r="H84" s="124"/>
      <c r="I84" s="130">
        <v>24200</v>
      </c>
      <c r="J84" s="130">
        <v>24200</v>
      </c>
      <c r="K84" s="130">
        <v>20509.599999999999</v>
      </c>
      <c r="L84" s="130">
        <v>20509.599999999999</v>
      </c>
      <c r="M84" s="130">
        <f t="shared" si="15"/>
        <v>20509.599999999999</v>
      </c>
      <c r="N84" s="130">
        <f t="shared" si="15"/>
        <v>20509.599999999999</v>
      </c>
      <c r="O84" s="130">
        <v>32620.3</v>
      </c>
      <c r="P84" s="130">
        <v>32620.3</v>
      </c>
      <c r="Q84" s="134"/>
    </row>
    <row r="85" spans="1:17" ht="133.5" customHeight="1" x14ac:dyDescent="0.3">
      <c r="A85" s="122" t="s">
        <v>194</v>
      </c>
      <c r="B85" s="122" t="s">
        <v>195</v>
      </c>
      <c r="C85" s="120" t="s">
        <v>32</v>
      </c>
      <c r="D85" s="128" t="s">
        <v>33</v>
      </c>
      <c r="E85" s="128" t="s">
        <v>34</v>
      </c>
      <c r="F85" s="128" t="s">
        <v>196</v>
      </c>
      <c r="G85" s="128" t="s">
        <v>39</v>
      </c>
      <c r="H85" s="124"/>
      <c r="I85" s="130">
        <v>94530</v>
      </c>
      <c r="J85" s="130">
        <v>94530</v>
      </c>
      <c r="K85" s="130">
        <v>82964</v>
      </c>
      <c r="L85" s="130">
        <f t="shared" si="16"/>
        <v>82964</v>
      </c>
      <c r="M85" s="130">
        <f t="shared" si="15"/>
        <v>82964</v>
      </c>
      <c r="N85" s="130">
        <f t="shared" si="15"/>
        <v>82964</v>
      </c>
      <c r="O85" s="130">
        <v>111300</v>
      </c>
      <c r="P85" s="130">
        <v>111300</v>
      </c>
      <c r="Q85" s="134"/>
    </row>
    <row r="86" spans="1:17" ht="210" customHeight="1" x14ac:dyDescent="0.3">
      <c r="A86" s="122" t="s">
        <v>197</v>
      </c>
      <c r="B86" s="122" t="s">
        <v>198</v>
      </c>
      <c r="C86" s="120" t="s">
        <v>32</v>
      </c>
      <c r="D86" s="128" t="s">
        <v>33</v>
      </c>
      <c r="E86" s="128" t="s">
        <v>34</v>
      </c>
      <c r="F86" s="128" t="s">
        <v>199</v>
      </c>
      <c r="G86" s="128" t="s">
        <v>36</v>
      </c>
      <c r="H86" s="124"/>
      <c r="I86" s="130">
        <v>6713.3</v>
      </c>
      <c r="J86" s="130">
        <v>6713.3</v>
      </c>
      <c r="K86" s="130">
        <v>6497.6</v>
      </c>
      <c r="L86" s="130">
        <v>6497.54</v>
      </c>
      <c r="M86" s="130">
        <f t="shared" si="15"/>
        <v>6497.6</v>
      </c>
      <c r="N86" s="130">
        <f t="shared" si="15"/>
        <v>6497.54</v>
      </c>
      <c r="O86" s="130">
        <v>6763.2</v>
      </c>
      <c r="P86" s="130">
        <v>6763.2</v>
      </c>
      <c r="Q86" s="134"/>
    </row>
    <row r="87" spans="1:17" ht="55.5" customHeight="1" x14ac:dyDescent="0.3">
      <c r="A87" s="122" t="s">
        <v>200</v>
      </c>
      <c r="B87" s="122" t="s">
        <v>201</v>
      </c>
      <c r="C87" s="120" t="s">
        <v>32</v>
      </c>
      <c r="D87" s="128" t="s">
        <v>33</v>
      </c>
      <c r="E87" s="128" t="s">
        <v>34</v>
      </c>
      <c r="F87" s="128" t="s">
        <v>202</v>
      </c>
      <c r="G87" s="128" t="s">
        <v>39</v>
      </c>
      <c r="H87" s="124"/>
      <c r="I87" s="130">
        <v>5435.4</v>
      </c>
      <c r="J87" s="130">
        <v>5435.2583199999999</v>
      </c>
      <c r="K87" s="130"/>
      <c r="L87" s="130">
        <f t="shared" si="16"/>
        <v>0</v>
      </c>
      <c r="M87" s="130">
        <f t="shared" si="15"/>
        <v>0</v>
      </c>
      <c r="N87" s="130">
        <f t="shared" si="15"/>
        <v>0</v>
      </c>
      <c r="O87" s="130">
        <v>30000</v>
      </c>
      <c r="P87" s="130">
        <v>30000</v>
      </c>
      <c r="Q87" s="134"/>
    </row>
    <row r="88" spans="1:17" ht="62.25" customHeight="1" x14ac:dyDescent="0.3">
      <c r="A88" s="122" t="s">
        <v>203</v>
      </c>
      <c r="B88" s="122" t="s">
        <v>204</v>
      </c>
      <c r="C88" s="120" t="s">
        <v>32</v>
      </c>
      <c r="D88" s="128" t="s">
        <v>33</v>
      </c>
      <c r="E88" s="128" t="s">
        <v>34</v>
      </c>
      <c r="F88" s="128" t="s">
        <v>205</v>
      </c>
      <c r="G88" s="128" t="s">
        <v>85</v>
      </c>
      <c r="H88" s="124"/>
      <c r="I88" s="130">
        <v>7736.1</v>
      </c>
      <c r="J88" s="130">
        <v>6773.2043299999996</v>
      </c>
      <c r="K88" s="130">
        <v>10947.5</v>
      </c>
      <c r="L88" s="130">
        <v>10926.11628</v>
      </c>
      <c r="M88" s="130">
        <f t="shared" si="15"/>
        <v>10947.5</v>
      </c>
      <c r="N88" s="130">
        <f t="shared" si="15"/>
        <v>10926.11628</v>
      </c>
      <c r="O88" s="130">
        <v>14850</v>
      </c>
      <c r="P88" s="130">
        <v>14850</v>
      </c>
      <c r="Q88" s="134"/>
    </row>
    <row r="89" spans="1:17" ht="99.75" customHeight="1" x14ac:dyDescent="0.3">
      <c r="A89" s="122" t="s">
        <v>206</v>
      </c>
      <c r="B89" s="122" t="s">
        <v>207</v>
      </c>
      <c r="C89" s="120" t="s">
        <v>32</v>
      </c>
      <c r="D89" s="128" t="s">
        <v>33</v>
      </c>
      <c r="E89" s="128" t="s">
        <v>34</v>
      </c>
      <c r="F89" s="128" t="s">
        <v>208</v>
      </c>
      <c r="G89" s="128" t="s">
        <v>39</v>
      </c>
      <c r="H89" s="124"/>
      <c r="I89" s="130">
        <v>7454.8</v>
      </c>
      <c r="J89" s="130">
        <v>7454.7749899999999</v>
      </c>
      <c r="K89" s="130">
        <v>8476.5</v>
      </c>
      <c r="L89" s="130">
        <v>8470.5000700000001</v>
      </c>
      <c r="M89" s="130">
        <f t="shared" si="15"/>
        <v>8476.5</v>
      </c>
      <c r="N89" s="130">
        <f t="shared" si="15"/>
        <v>8470.5000700000001</v>
      </c>
      <c r="O89" s="130">
        <v>21780</v>
      </c>
      <c r="P89" s="130">
        <v>21780</v>
      </c>
      <c r="Q89" s="134"/>
    </row>
    <row r="90" spans="1:17" ht="70.5" customHeight="1" x14ac:dyDescent="0.3">
      <c r="A90" s="122" t="s">
        <v>209</v>
      </c>
      <c r="B90" s="122" t="s">
        <v>210</v>
      </c>
      <c r="C90" s="120" t="s">
        <v>32</v>
      </c>
      <c r="D90" s="128" t="s">
        <v>33</v>
      </c>
      <c r="E90" s="128" t="s">
        <v>34</v>
      </c>
      <c r="F90" s="128" t="s">
        <v>211</v>
      </c>
      <c r="G90" s="128" t="s">
        <v>212</v>
      </c>
      <c r="H90" s="124"/>
      <c r="I90" s="130"/>
      <c r="J90" s="130"/>
      <c r="K90" s="130">
        <v>4273.8999999999996</v>
      </c>
      <c r="L90" s="130">
        <v>4273.9224999999997</v>
      </c>
      <c r="M90" s="130">
        <f t="shared" si="15"/>
        <v>4273.8999999999996</v>
      </c>
      <c r="N90" s="130">
        <f t="shared" si="15"/>
        <v>4273.9224999999997</v>
      </c>
      <c r="O90" s="130"/>
      <c r="P90" s="130"/>
      <c r="Q90" s="134"/>
    </row>
    <row r="91" spans="1:17" ht="85.5" customHeight="1" x14ac:dyDescent="0.3">
      <c r="A91" s="122"/>
      <c r="B91" s="122" t="s">
        <v>213</v>
      </c>
      <c r="C91" s="120" t="s">
        <v>32</v>
      </c>
      <c r="D91" s="128" t="s">
        <v>33</v>
      </c>
      <c r="E91" s="128" t="s">
        <v>34</v>
      </c>
      <c r="F91" s="128" t="s">
        <v>214</v>
      </c>
      <c r="G91" s="128" t="s">
        <v>39</v>
      </c>
      <c r="H91" s="124"/>
      <c r="I91" s="130">
        <v>1523.9</v>
      </c>
      <c r="J91" s="130">
        <v>1523.8833199999999</v>
      </c>
      <c r="K91" s="130"/>
      <c r="L91" s="130">
        <f t="shared" si="16"/>
        <v>0</v>
      </c>
      <c r="M91" s="130">
        <f t="shared" si="15"/>
        <v>0</v>
      </c>
      <c r="N91" s="130">
        <f t="shared" si="15"/>
        <v>0</v>
      </c>
      <c r="O91" s="130"/>
      <c r="P91" s="130"/>
      <c r="Q91" s="134"/>
    </row>
    <row r="92" spans="1:17" ht="241.5" customHeight="1" x14ac:dyDescent="0.3">
      <c r="A92" s="122"/>
      <c r="B92" s="122" t="s">
        <v>215</v>
      </c>
      <c r="C92" s="120" t="s">
        <v>32</v>
      </c>
      <c r="D92" s="128" t="s">
        <v>33</v>
      </c>
      <c r="E92" s="128" t="s">
        <v>34</v>
      </c>
      <c r="F92" s="128" t="s">
        <v>216</v>
      </c>
      <c r="G92" s="128" t="s">
        <v>39</v>
      </c>
      <c r="H92" s="124"/>
      <c r="I92" s="130">
        <v>30194.5</v>
      </c>
      <c r="J92" s="130">
        <v>30194.516500000002</v>
      </c>
      <c r="K92" s="130"/>
      <c r="L92" s="130">
        <f t="shared" si="16"/>
        <v>0</v>
      </c>
      <c r="M92" s="130">
        <f t="shared" si="15"/>
        <v>0</v>
      </c>
      <c r="N92" s="130">
        <f t="shared" si="15"/>
        <v>0</v>
      </c>
      <c r="O92" s="130"/>
      <c r="P92" s="130"/>
      <c r="Q92" s="134"/>
    </row>
    <row r="93" spans="1:17" ht="40.5" customHeight="1" x14ac:dyDescent="0.3">
      <c r="A93" s="123" t="s">
        <v>217</v>
      </c>
      <c r="B93" s="189" t="s">
        <v>360</v>
      </c>
      <c r="C93" s="189"/>
      <c r="D93" s="126"/>
      <c r="E93" s="126"/>
      <c r="F93" s="126"/>
      <c r="G93" s="117"/>
      <c r="H93" s="117"/>
      <c r="I93" s="127">
        <f>SUM(I94:I106)</f>
        <v>1092822.8999999999</v>
      </c>
      <c r="J93" s="127">
        <f t="shared" ref="J93:P93" si="17">SUM(J94:J106)</f>
        <v>1089412.6876399999</v>
      </c>
      <c r="K93" s="127">
        <f t="shared" si="17"/>
        <v>1160584.6000000001</v>
      </c>
      <c r="L93" s="127">
        <f t="shared" si="17"/>
        <v>1159726.8910699999</v>
      </c>
      <c r="M93" s="127">
        <f t="shared" si="17"/>
        <v>1160584.6000000001</v>
      </c>
      <c r="N93" s="127">
        <f t="shared" si="17"/>
        <v>1159726.8910699999</v>
      </c>
      <c r="O93" s="127">
        <f t="shared" si="17"/>
        <v>1001530.6000000001</v>
      </c>
      <c r="P93" s="127">
        <f t="shared" si="17"/>
        <v>993821.70000000019</v>
      </c>
      <c r="Q93" s="117"/>
    </row>
    <row r="94" spans="1:17" ht="66" customHeight="1" x14ac:dyDescent="0.3">
      <c r="A94" s="122" t="s">
        <v>218</v>
      </c>
      <c r="B94" s="122" t="s">
        <v>219</v>
      </c>
      <c r="C94" s="120" t="s">
        <v>32</v>
      </c>
      <c r="D94" s="128" t="s">
        <v>33</v>
      </c>
      <c r="E94" s="128" t="s">
        <v>220</v>
      </c>
      <c r="F94" s="128" t="s">
        <v>221</v>
      </c>
      <c r="G94" s="128" t="s">
        <v>222</v>
      </c>
      <c r="H94" s="124"/>
      <c r="I94" s="130">
        <v>9777.7000000000007</v>
      </c>
      <c r="J94" s="130">
        <v>9777.7000000000007</v>
      </c>
      <c r="K94" s="130">
        <v>8623</v>
      </c>
      <c r="L94" s="130">
        <f>2251.6+6371.4</f>
        <v>8623</v>
      </c>
      <c r="M94" s="130">
        <f t="shared" ref="M94:N106" si="18">K94</f>
        <v>8623</v>
      </c>
      <c r="N94" s="130">
        <f t="shared" si="18"/>
        <v>8623</v>
      </c>
      <c r="O94" s="130">
        <v>66200.7</v>
      </c>
      <c r="P94" s="130">
        <v>73316</v>
      </c>
      <c r="Q94" s="134"/>
    </row>
    <row r="95" spans="1:17" ht="126.75" customHeight="1" x14ac:dyDescent="0.3">
      <c r="A95" s="122" t="s">
        <v>223</v>
      </c>
      <c r="B95" s="122" t="s">
        <v>224</v>
      </c>
      <c r="C95" s="120" t="s">
        <v>32</v>
      </c>
      <c r="D95" s="128" t="s">
        <v>33</v>
      </c>
      <c r="E95" s="128" t="s">
        <v>220</v>
      </c>
      <c r="F95" s="128" t="s">
        <v>225</v>
      </c>
      <c r="G95" s="128" t="s">
        <v>222</v>
      </c>
      <c r="H95" s="124"/>
      <c r="I95" s="130">
        <v>580301.30000000005</v>
      </c>
      <c r="J95" s="130">
        <v>580301.30700000003</v>
      </c>
      <c r="K95" s="130">
        <v>668355.9</v>
      </c>
      <c r="L95" s="130">
        <v>668355.86430000002</v>
      </c>
      <c r="M95" s="130">
        <f t="shared" si="18"/>
        <v>668355.9</v>
      </c>
      <c r="N95" s="130">
        <f t="shared" si="18"/>
        <v>668355.86430000002</v>
      </c>
      <c r="O95" s="130">
        <v>489353.4</v>
      </c>
      <c r="P95" s="130">
        <v>473695</v>
      </c>
      <c r="Q95" s="134"/>
    </row>
    <row r="96" spans="1:17" ht="189" customHeight="1" x14ac:dyDescent="0.3">
      <c r="A96" s="122" t="s">
        <v>226</v>
      </c>
      <c r="B96" s="122" t="s">
        <v>227</v>
      </c>
      <c r="C96" s="120" t="s">
        <v>32</v>
      </c>
      <c r="D96" s="128" t="s">
        <v>33</v>
      </c>
      <c r="E96" s="128" t="s">
        <v>34</v>
      </c>
      <c r="F96" s="128" t="s">
        <v>228</v>
      </c>
      <c r="G96" s="128" t="s">
        <v>36</v>
      </c>
      <c r="H96" s="124"/>
      <c r="I96" s="130">
        <v>9429.9</v>
      </c>
      <c r="J96" s="130">
        <v>9429.9468300000008</v>
      </c>
      <c r="K96" s="130">
        <v>1952.4</v>
      </c>
      <c r="L96" s="130">
        <v>1952.3952999999999</v>
      </c>
      <c r="M96" s="130">
        <f t="shared" si="18"/>
        <v>1952.4</v>
      </c>
      <c r="N96" s="130">
        <f t="shared" si="18"/>
        <v>1952.3952999999999</v>
      </c>
      <c r="O96" s="130">
        <v>44256.800000000003</v>
      </c>
      <c r="P96" s="130">
        <v>44256.800000000003</v>
      </c>
      <c r="Q96" s="134"/>
    </row>
    <row r="97" spans="1:17" ht="153.75" customHeight="1" x14ac:dyDescent="0.3">
      <c r="A97" s="122" t="s">
        <v>229</v>
      </c>
      <c r="B97" s="122" t="s">
        <v>230</v>
      </c>
      <c r="C97" s="120" t="s">
        <v>32</v>
      </c>
      <c r="D97" s="128" t="s">
        <v>33</v>
      </c>
      <c r="E97" s="128" t="s">
        <v>220</v>
      </c>
      <c r="F97" s="128" t="s">
        <v>231</v>
      </c>
      <c r="G97" s="128" t="s">
        <v>222</v>
      </c>
      <c r="H97" s="124"/>
      <c r="I97" s="130">
        <v>10240.6</v>
      </c>
      <c r="J97" s="130">
        <v>10240.6113</v>
      </c>
      <c r="K97" s="130">
        <v>26240.799999999999</v>
      </c>
      <c r="L97" s="130">
        <v>26240.839380000001</v>
      </c>
      <c r="M97" s="130">
        <f t="shared" si="18"/>
        <v>26240.799999999999</v>
      </c>
      <c r="N97" s="130">
        <f t="shared" si="18"/>
        <v>26240.839380000001</v>
      </c>
      <c r="O97" s="130">
        <v>28450.799999999999</v>
      </c>
      <c r="P97" s="130">
        <v>28450.799999999999</v>
      </c>
      <c r="Q97" s="134"/>
    </row>
    <row r="98" spans="1:17" ht="129.75" customHeight="1" x14ac:dyDescent="0.3">
      <c r="A98" s="122" t="s">
        <v>232</v>
      </c>
      <c r="B98" s="122" t="s">
        <v>233</v>
      </c>
      <c r="C98" s="120" t="s">
        <v>32</v>
      </c>
      <c r="D98" s="128" t="s">
        <v>33</v>
      </c>
      <c r="E98" s="128" t="s">
        <v>34</v>
      </c>
      <c r="F98" s="128" t="s">
        <v>234</v>
      </c>
      <c r="G98" s="128" t="s">
        <v>36</v>
      </c>
      <c r="H98" s="124"/>
      <c r="I98" s="130">
        <v>1479.2</v>
      </c>
      <c r="J98" s="130">
        <v>1461.3608999999999</v>
      </c>
      <c r="K98" s="130">
        <v>1249.5</v>
      </c>
      <c r="L98" s="130">
        <f>301.74401+688.87384</f>
        <v>990.61784999999998</v>
      </c>
      <c r="M98" s="130">
        <f t="shared" si="18"/>
        <v>1249.5</v>
      </c>
      <c r="N98" s="130">
        <f t="shared" si="18"/>
        <v>990.61784999999998</v>
      </c>
      <c r="O98" s="130">
        <v>1762.2</v>
      </c>
      <c r="P98" s="130">
        <v>1750.3</v>
      </c>
      <c r="Q98" s="134"/>
    </row>
    <row r="99" spans="1:17" ht="169.5" customHeight="1" x14ac:dyDescent="0.3">
      <c r="A99" s="122" t="s">
        <v>235</v>
      </c>
      <c r="B99" s="122" t="s">
        <v>236</v>
      </c>
      <c r="C99" s="120" t="s">
        <v>32</v>
      </c>
      <c r="D99" s="128" t="s">
        <v>33</v>
      </c>
      <c r="E99" s="128" t="s">
        <v>237</v>
      </c>
      <c r="F99" s="128" t="s">
        <v>238</v>
      </c>
      <c r="G99" s="128" t="s">
        <v>36</v>
      </c>
      <c r="H99" s="124"/>
      <c r="I99" s="130">
        <v>2088</v>
      </c>
      <c r="J99" s="130">
        <v>1925.4388799999999</v>
      </c>
      <c r="K99" s="130">
        <v>6951.3</v>
      </c>
      <c r="L99" s="130">
        <f>5174.23621+1777.1</f>
        <v>6951.3362099999995</v>
      </c>
      <c r="M99" s="130">
        <f t="shared" si="18"/>
        <v>6951.3</v>
      </c>
      <c r="N99" s="130">
        <f t="shared" si="18"/>
        <v>6951.3362099999995</v>
      </c>
      <c r="O99" s="130">
        <v>3567</v>
      </c>
      <c r="P99" s="130">
        <v>3688.1</v>
      </c>
      <c r="Q99" s="134"/>
    </row>
    <row r="100" spans="1:17" ht="184.5" customHeight="1" x14ac:dyDescent="0.3">
      <c r="A100" s="122" t="s">
        <v>239</v>
      </c>
      <c r="B100" s="122" t="s">
        <v>240</v>
      </c>
      <c r="C100" s="120" t="s">
        <v>32</v>
      </c>
      <c r="D100" s="128" t="s">
        <v>33</v>
      </c>
      <c r="E100" s="128" t="s">
        <v>220</v>
      </c>
      <c r="F100" s="128" t="s">
        <v>241</v>
      </c>
      <c r="G100" s="128" t="s">
        <v>222</v>
      </c>
      <c r="H100" s="124"/>
      <c r="I100" s="130">
        <v>588.4</v>
      </c>
      <c r="J100" s="130">
        <v>588.38699999999994</v>
      </c>
      <c r="K100" s="130">
        <v>255.5</v>
      </c>
      <c r="L100" s="130">
        <v>255.45699999999999</v>
      </c>
      <c r="M100" s="130">
        <f t="shared" si="18"/>
        <v>255.5</v>
      </c>
      <c r="N100" s="130">
        <f t="shared" si="18"/>
        <v>255.45699999999999</v>
      </c>
      <c r="O100" s="130">
        <v>270.2</v>
      </c>
      <c r="P100" s="130">
        <v>112.6</v>
      </c>
      <c r="Q100" s="134"/>
    </row>
    <row r="101" spans="1:17" ht="162.75" customHeight="1" x14ac:dyDescent="0.3">
      <c r="A101" s="122" t="s">
        <v>242</v>
      </c>
      <c r="B101" s="122" t="s">
        <v>243</v>
      </c>
      <c r="C101" s="120" t="s">
        <v>32</v>
      </c>
      <c r="D101" s="128" t="s">
        <v>33</v>
      </c>
      <c r="E101" s="128" t="s">
        <v>34</v>
      </c>
      <c r="F101" s="128" t="s">
        <v>244</v>
      </c>
      <c r="G101" s="128" t="s">
        <v>245</v>
      </c>
      <c r="H101" s="124"/>
      <c r="I101" s="130">
        <v>93737.8</v>
      </c>
      <c r="J101" s="130">
        <v>90507.974629999997</v>
      </c>
      <c r="K101" s="130">
        <v>111421</v>
      </c>
      <c r="L101" s="130">
        <v>110822.18268</v>
      </c>
      <c r="M101" s="130">
        <f t="shared" si="18"/>
        <v>111421</v>
      </c>
      <c r="N101" s="130">
        <f t="shared" si="18"/>
        <v>110822.18268</v>
      </c>
      <c r="O101" s="130">
        <v>126592.9</v>
      </c>
      <c r="P101" s="130">
        <v>127475.5</v>
      </c>
      <c r="Q101" s="134"/>
    </row>
    <row r="102" spans="1:17" ht="87" customHeight="1" x14ac:dyDescent="0.3">
      <c r="A102" s="122" t="s">
        <v>246</v>
      </c>
      <c r="B102" s="122" t="s">
        <v>247</v>
      </c>
      <c r="C102" s="120" t="s">
        <v>32</v>
      </c>
      <c r="D102" s="128" t="s">
        <v>33</v>
      </c>
      <c r="E102" s="128" t="s">
        <v>220</v>
      </c>
      <c r="F102" s="128" t="s">
        <v>248</v>
      </c>
      <c r="G102" s="128" t="s">
        <v>249</v>
      </c>
      <c r="H102" s="124"/>
      <c r="I102" s="130">
        <v>160000</v>
      </c>
      <c r="J102" s="130">
        <v>160000</v>
      </c>
      <c r="K102" s="130">
        <v>160000</v>
      </c>
      <c r="L102" s="130">
        <f t="shared" ref="L102:L106" si="19">K102</f>
        <v>160000</v>
      </c>
      <c r="M102" s="130">
        <f t="shared" si="18"/>
        <v>160000</v>
      </c>
      <c r="N102" s="130">
        <f t="shared" si="18"/>
        <v>160000</v>
      </c>
      <c r="O102" s="130">
        <v>160000</v>
      </c>
      <c r="P102" s="130">
        <v>160000</v>
      </c>
      <c r="Q102" s="134"/>
    </row>
    <row r="103" spans="1:17" ht="210" customHeight="1" x14ac:dyDescent="0.3">
      <c r="A103" s="122" t="s">
        <v>250</v>
      </c>
      <c r="B103" s="122" t="s">
        <v>251</v>
      </c>
      <c r="C103" s="120" t="s">
        <v>32</v>
      </c>
      <c r="D103" s="128" t="s">
        <v>33</v>
      </c>
      <c r="E103" s="128" t="s">
        <v>34</v>
      </c>
      <c r="F103" s="128" t="s">
        <v>252</v>
      </c>
      <c r="G103" s="128" t="s">
        <v>85</v>
      </c>
      <c r="H103" s="124"/>
      <c r="I103" s="130">
        <f>167+13</f>
        <v>180</v>
      </c>
      <c r="J103" s="130">
        <f>168.7111+11.25</f>
        <v>179.96109999999999</v>
      </c>
      <c r="K103" s="130">
        <v>535.20000000000005</v>
      </c>
      <c r="L103" s="130">
        <v>535.19835</v>
      </c>
      <c r="M103" s="130">
        <f t="shared" si="18"/>
        <v>535.20000000000005</v>
      </c>
      <c r="N103" s="130">
        <f t="shared" si="18"/>
        <v>535.19835</v>
      </c>
      <c r="O103" s="130">
        <v>2625.8</v>
      </c>
      <c r="P103" s="130">
        <v>2625.8</v>
      </c>
      <c r="Q103" s="134"/>
    </row>
    <row r="104" spans="1:17" ht="117" customHeight="1" x14ac:dyDescent="0.3">
      <c r="A104" s="122" t="s">
        <v>253</v>
      </c>
      <c r="B104" s="122" t="s">
        <v>254</v>
      </c>
      <c r="C104" s="120" t="s">
        <v>32</v>
      </c>
      <c r="D104" s="128" t="s">
        <v>33</v>
      </c>
      <c r="E104" s="128" t="s">
        <v>34</v>
      </c>
      <c r="F104" s="128" t="s">
        <v>255</v>
      </c>
      <c r="G104" s="128" t="s">
        <v>256</v>
      </c>
      <c r="H104" s="124"/>
      <c r="I104" s="130">
        <v>175000</v>
      </c>
      <c r="J104" s="130">
        <v>175000</v>
      </c>
      <c r="K104" s="130">
        <v>175000</v>
      </c>
      <c r="L104" s="130">
        <f t="shared" si="19"/>
        <v>175000</v>
      </c>
      <c r="M104" s="130">
        <f t="shared" si="18"/>
        <v>175000</v>
      </c>
      <c r="N104" s="130">
        <f t="shared" si="18"/>
        <v>175000</v>
      </c>
      <c r="O104" s="130">
        <v>50000</v>
      </c>
      <c r="P104" s="130">
        <v>50000</v>
      </c>
      <c r="Q104" s="134"/>
    </row>
    <row r="105" spans="1:17" ht="243.75" customHeight="1" x14ac:dyDescent="0.3">
      <c r="A105" s="122" t="s">
        <v>257</v>
      </c>
      <c r="B105" s="122" t="s">
        <v>258</v>
      </c>
      <c r="C105" s="120" t="s">
        <v>32</v>
      </c>
      <c r="D105" s="128" t="s">
        <v>33</v>
      </c>
      <c r="E105" s="128" t="s">
        <v>220</v>
      </c>
      <c r="F105" s="128" t="s">
        <v>259</v>
      </c>
      <c r="G105" s="128" t="s">
        <v>222</v>
      </c>
      <c r="H105" s="124"/>
      <c r="I105" s="130"/>
      <c r="J105" s="130"/>
      <c r="K105" s="130"/>
      <c r="L105" s="130">
        <f t="shared" si="19"/>
        <v>0</v>
      </c>
      <c r="M105" s="130">
        <f t="shared" si="18"/>
        <v>0</v>
      </c>
      <c r="N105" s="130">
        <f t="shared" si="18"/>
        <v>0</v>
      </c>
      <c r="O105" s="130">
        <v>28450.799999999999</v>
      </c>
      <c r="P105" s="130">
        <v>28450.799999999999</v>
      </c>
      <c r="Q105" s="134"/>
    </row>
    <row r="106" spans="1:17" ht="94.5" customHeight="1" x14ac:dyDescent="0.3">
      <c r="A106" s="122"/>
      <c r="B106" s="122" t="s">
        <v>260</v>
      </c>
      <c r="C106" s="120" t="s">
        <v>32</v>
      </c>
      <c r="D106" s="128" t="s">
        <v>33</v>
      </c>
      <c r="E106" s="128" t="s">
        <v>261</v>
      </c>
      <c r="F106" s="128">
        <v>1470074110</v>
      </c>
      <c r="G106" s="128" t="s">
        <v>262</v>
      </c>
      <c r="H106" s="124"/>
      <c r="I106" s="130">
        <v>50000</v>
      </c>
      <c r="J106" s="130">
        <v>50000</v>
      </c>
      <c r="K106" s="130"/>
      <c r="L106" s="130">
        <f t="shared" si="19"/>
        <v>0</v>
      </c>
      <c r="M106" s="130">
        <f t="shared" si="18"/>
        <v>0</v>
      </c>
      <c r="N106" s="130">
        <f t="shared" si="18"/>
        <v>0</v>
      </c>
      <c r="O106" s="130"/>
      <c r="P106" s="130"/>
      <c r="Q106" s="134"/>
    </row>
    <row r="107" spans="1:17" ht="40.5" customHeight="1" x14ac:dyDescent="0.3">
      <c r="A107" s="123" t="s">
        <v>263</v>
      </c>
      <c r="B107" s="186" t="s">
        <v>264</v>
      </c>
      <c r="C107" s="186"/>
      <c r="D107" s="126"/>
      <c r="E107" s="126"/>
      <c r="F107" s="126"/>
      <c r="G107" s="117"/>
      <c r="H107" s="117"/>
      <c r="I107" s="127">
        <f>SUM(I108:I111)</f>
        <v>130426.8</v>
      </c>
      <c r="J107" s="127">
        <f t="shared" ref="J107:P107" si="20">SUM(J108:J111)</f>
        <v>130426.77816</v>
      </c>
      <c r="K107" s="127">
        <f t="shared" si="20"/>
        <v>122407.5</v>
      </c>
      <c r="L107" s="127">
        <f t="shared" si="20"/>
        <v>121952.10648</v>
      </c>
      <c r="M107" s="127">
        <f t="shared" si="20"/>
        <v>122407.5</v>
      </c>
      <c r="N107" s="127">
        <f t="shared" si="20"/>
        <v>121952.10648</v>
      </c>
      <c r="O107" s="127">
        <f t="shared" si="20"/>
        <v>131000</v>
      </c>
      <c r="P107" s="127">
        <f t="shared" si="20"/>
        <v>131000</v>
      </c>
      <c r="Q107" s="117"/>
    </row>
    <row r="108" spans="1:17" ht="210.75" customHeight="1" x14ac:dyDescent="0.3">
      <c r="A108" s="122" t="s">
        <v>265</v>
      </c>
      <c r="B108" s="122" t="s">
        <v>266</v>
      </c>
      <c r="C108" s="120" t="s">
        <v>32</v>
      </c>
      <c r="D108" s="128" t="s">
        <v>33</v>
      </c>
      <c r="E108" s="128" t="s">
        <v>267</v>
      </c>
      <c r="F108" s="128" t="s">
        <v>268</v>
      </c>
      <c r="G108" s="128" t="s">
        <v>170</v>
      </c>
      <c r="H108" s="124"/>
      <c r="I108" s="130">
        <v>51682.5</v>
      </c>
      <c r="J108" s="130">
        <v>51682.484389999998</v>
      </c>
      <c r="K108" s="130">
        <v>42012.1</v>
      </c>
      <c r="L108" s="130">
        <v>41556.779199999997</v>
      </c>
      <c r="M108" s="130">
        <f t="shared" ref="M108:N111" si="21">K108</f>
        <v>42012.1</v>
      </c>
      <c r="N108" s="130">
        <f t="shared" si="21"/>
        <v>41556.779199999997</v>
      </c>
      <c r="O108" s="130">
        <v>50000</v>
      </c>
      <c r="P108" s="130">
        <v>50000</v>
      </c>
      <c r="Q108" s="134"/>
    </row>
    <row r="109" spans="1:17" ht="107.25" customHeight="1" x14ac:dyDescent="0.3">
      <c r="A109" s="122" t="s">
        <v>269</v>
      </c>
      <c r="B109" s="122" t="s">
        <v>270</v>
      </c>
      <c r="C109" s="120" t="s">
        <v>32</v>
      </c>
      <c r="D109" s="128" t="s">
        <v>33</v>
      </c>
      <c r="E109" s="128" t="s">
        <v>267</v>
      </c>
      <c r="F109" s="128" t="s">
        <v>271</v>
      </c>
      <c r="G109" s="128" t="s">
        <v>39</v>
      </c>
      <c r="H109" s="124"/>
      <c r="I109" s="130">
        <v>65905.8</v>
      </c>
      <c r="J109" s="130">
        <v>65905.780769999998</v>
      </c>
      <c r="K109" s="130">
        <v>65564.800000000003</v>
      </c>
      <c r="L109" s="130">
        <v>65564.768880000003</v>
      </c>
      <c r="M109" s="130">
        <f t="shared" si="21"/>
        <v>65564.800000000003</v>
      </c>
      <c r="N109" s="130">
        <f t="shared" si="21"/>
        <v>65564.768880000003</v>
      </c>
      <c r="O109" s="130">
        <v>66000</v>
      </c>
      <c r="P109" s="130">
        <v>66000</v>
      </c>
      <c r="Q109" s="134"/>
    </row>
    <row r="110" spans="1:17" ht="210.75" customHeight="1" x14ac:dyDescent="0.3">
      <c r="A110" s="122" t="s">
        <v>272</v>
      </c>
      <c r="B110" s="122" t="s">
        <v>273</v>
      </c>
      <c r="C110" s="120" t="s">
        <v>32</v>
      </c>
      <c r="D110" s="128" t="s">
        <v>33</v>
      </c>
      <c r="E110" s="128" t="s">
        <v>267</v>
      </c>
      <c r="F110" s="128" t="s">
        <v>274</v>
      </c>
      <c r="G110" s="128" t="s">
        <v>39</v>
      </c>
      <c r="H110" s="124"/>
      <c r="I110" s="130">
        <v>7852</v>
      </c>
      <c r="J110" s="130">
        <v>7851.9849999999997</v>
      </c>
      <c r="K110" s="130">
        <v>9830.6</v>
      </c>
      <c r="L110" s="130">
        <v>9830.5583999999999</v>
      </c>
      <c r="M110" s="130">
        <f t="shared" si="21"/>
        <v>9830.6</v>
      </c>
      <c r="N110" s="130">
        <f t="shared" si="21"/>
        <v>9830.5583999999999</v>
      </c>
      <c r="O110" s="130">
        <v>10000</v>
      </c>
      <c r="P110" s="130">
        <v>10000</v>
      </c>
      <c r="Q110" s="134"/>
    </row>
    <row r="111" spans="1:17" ht="144" customHeight="1" x14ac:dyDescent="0.3">
      <c r="A111" s="122" t="s">
        <v>275</v>
      </c>
      <c r="B111" s="122" t="s">
        <v>276</v>
      </c>
      <c r="C111" s="120" t="s">
        <v>32</v>
      </c>
      <c r="D111" s="128" t="s">
        <v>33</v>
      </c>
      <c r="E111" s="128" t="s">
        <v>34</v>
      </c>
      <c r="F111" s="128" t="s">
        <v>277</v>
      </c>
      <c r="G111" s="128" t="s">
        <v>39</v>
      </c>
      <c r="H111" s="124"/>
      <c r="I111" s="130">
        <v>4986.5</v>
      </c>
      <c r="J111" s="130">
        <v>4986.5280000000002</v>
      </c>
      <c r="K111" s="130">
        <v>5000</v>
      </c>
      <c r="L111" s="130">
        <f t="shared" ref="L111" si="22">K111</f>
        <v>5000</v>
      </c>
      <c r="M111" s="130">
        <f t="shared" si="21"/>
        <v>5000</v>
      </c>
      <c r="N111" s="130">
        <f t="shared" si="21"/>
        <v>5000</v>
      </c>
      <c r="O111" s="130">
        <v>5000</v>
      </c>
      <c r="P111" s="130">
        <v>5000</v>
      </c>
      <c r="Q111" s="134"/>
    </row>
    <row r="112" spans="1:17" ht="40.5" customHeight="1" x14ac:dyDescent="0.3">
      <c r="A112" s="122"/>
      <c r="B112" s="123" t="s">
        <v>278</v>
      </c>
      <c r="C112" s="120"/>
      <c r="D112" s="124"/>
      <c r="E112" s="118"/>
      <c r="F112" s="118"/>
      <c r="G112" s="118"/>
      <c r="H112" s="118"/>
      <c r="I112" s="125">
        <f>I114+I115</f>
        <v>7912720.1999999993</v>
      </c>
      <c r="J112" s="125">
        <f t="shared" ref="J112:P112" si="23">J114+J115</f>
        <v>8453619.7099600006</v>
      </c>
      <c r="K112" s="125">
        <f t="shared" si="23"/>
        <v>7638901.2196599972</v>
      </c>
      <c r="L112" s="125">
        <f t="shared" si="23"/>
        <v>7586088.6593820024</v>
      </c>
      <c r="M112" s="125">
        <f t="shared" si="23"/>
        <v>7638901.2196599972</v>
      </c>
      <c r="N112" s="125">
        <f t="shared" si="23"/>
        <v>7586088.6593820024</v>
      </c>
      <c r="O112" s="125">
        <f t="shared" si="23"/>
        <v>6502391.700000002</v>
      </c>
      <c r="P112" s="125">
        <f t="shared" si="23"/>
        <v>6489960.5999999987</v>
      </c>
      <c r="Q112" s="118"/>
    </row>
    <row r="113" spans="1:17" ht="40.5" customHeight="1" x14ac:dyDescent="0.3">
      <c r="A113" s="122"/>
      <c r="B113" s="122" t="s">
        <v>279</v>
      </c>
      <c r="C113" s="120"/>
      <c r="D113" s="124"/>
      <c r="E113" s="118"/>
      <c r="F113" s="118"/>
      <c r="G113" s="118"/>
      <c r="H113" s="118"/>
      <c r="I113" s="125"/>
      <c r="J113" s="125"/>
      <c r="K113" s="125"/>
      <c r="L113" s="125"/>
      <c r="M113" s="125"/>
      <c r="N113" s="125"/>
      <c r="O113" s="125"/>
      <c r="P113" s="125"/>
      <c r="Q113" s="118"/>
    </row>
    <row r="114" spans="1:17" ht="40.5" customHeight="1" x14ac:dyDescent="0.3">
      <c r="A114" s="122"/>
      <c r="B114" s="122" t="s">
        <v>32</v>
      </c>
      <c r="C114" s="120"/>
      <c r="D114" s="124"/>
      <c r="E114" s="118"/>
      <c r="F114" s="118"/>
      <c r="G114" s="118"/>
      <c r="H114" s="118"/>
      <c r="I114" s="125">
        <f t="shared" ref="I114:P114" si="24">SUMIF($D$27:$D$111,121,I27:I111)</f>
        <v>7823593.2999999989</v>
      </c>
      <c r="J114" s="125">
        <f t="shared" si="24"/>
        <v>8365045.60996</v>
      </c>
      <c r="K114" s="125">
        <f t="shared" si="24"/>
        <v>7549774.3196599968</v>
      </c>
      <c r="L114" s="125">
        <f t="shared" si="24"/>
        <v>7496969.4750320027</v>
      </c>
      <c r="M114" s="125">
        <f t="shared" si="24"/>
        <v>7549774.3196599968</v>
      </c>
      <c r="N114" s="125">
        <f t="shared" si="24"/>
        <v>7496969.4750320027</v>
      </c>
      <c r="O114" s="125">
        <f t="shared" si="24"/>
        <v>6413264.8000000017</v>
      </c>
      <c r="P114" s="125">
        <f t="shared" si="24"/>
        <v>6400833.6999999983</v>
      </c>
      <c r="Q114" s="118"/>
    </row>
    <row r="115" spans="1:17" ht="40.5" customHeight="1" x14ac:dyDescent="0.3">
      <c r="A115" s="122"/>
      <c r="B115" s="122" t="s">
        <v>110</v>
      </c>
      <c r="C115" s="120"/>
      <c r="D115" s="124"/>
      <c r="E115" s="118"/>
      <c r="F115" s="118"/>
      <c r="G115" s="118"/>
      <c r="H115" s="118"/>
      <c r="I115" s="125">
        <f t="shared" ref="I115:P115" si="25">SUMIF($D$27:$D$111,120,I27:I111)</f>
        <v>89126.9</v>
      </c>
      <c r="J115" s="125">
        <f t="shared" si="25"/>
        <v>88574.1</v>
      </c>
      <c r="K115" s="125">
        <f t="shared" si="25"/>
        <v>89126.9</v>
      </c>
      <c r="L115" s="125">
        <f t="shared" si="25"/>
        <v>89119.184349999996</v>
      </c>
      <c r="M115" s="125">
        <f t="shared" si="25"/>
        <v>89126.9</v>
      </c>
      <c r="N115" s="125">
        <f t="shared" si="25"/>
        <v>89119.184349999996</v>
      </c>
      <c r="O115" s="125">
        <f t="shared" si="25"/>
        <v>89126.9</v>
      </c>
      <c r="P115" s="125">
        <f t="shared" si="25"/>
        <v>89126.9</v>
      </c>
      <c r="Q115" s="118"/>
    </row>
    <row r="116" spans="1:17" ht="40.5" customHeight="1" x14ac:dyDescent="0.3">
      <c r="A116" s="122"/>
      <c r="B116" s="123" t="s">
        <v>280</v>
      </c>
      <c r="C116" s="120"/>
      <c r="D116" s="124"/>
      <c r="E116" s="118"/>
      <c r="F116" s="118"/>
      <c r="G116" s="118"/>
      <c r="H116" s="118"/>
      <c r="I116" s="125">
        <f>I117</f>
        <v>2425332.6</v>
      </c>
      <c r="J116" s="125">
        <f t="shared" ref="J116:P116" si="26">J117</f>
        <v>2403977.64958</v>
      </c>
      <c r="K116" s="125">
        <f t="shared" si="26"/>
        <v>2501695.6</v>
      </c>
      <c r="L116" s="125">
        <f t="shared" si="26"/>
        <v>2652168.8471099995</v>
      </c>
      <c r="M116" s="125">
        <f t="shared" si="26"/>
        <v>2501695.6</v>
      </c>
      <c r="N116" s="125">
        <f t="shared" si="26"/>
        <v>2652168.8471099995</v>
      </c>
      <c r="O116" s="125">
        <f t="shared" si="26"/>
        <v>2448600.1999999997</v>
      </c>
      <c r="P116" s="125">
        <f t="shared" si="26"/>
        <v>2449749.2000000002</v>
      </c>
      <c r="Q116" s="118"/>
    </row>
    <row r="117" spans="1:17" ht="40.5" customHeight="1" x14ac:dyDescent="0.3">
      <c r="A117" s="123" t="s">
        <v>281</v>
      </c>
      <c r="B117" s="186" t="s">
        <v>282</v>
      </c>
      <c r="C117" s="186"/>
      <c r="D117" s="126"/>
      <c r="E117" s="126"/>
      <c r="F117" s="126"/>
      <c r="G117" s="117"/>
      <c r="H117" s="117"/>
      <c r="I117" s="127">
        <f t="shared" ref="I117:J117" si="27">SUMIF($D$118:$D$150,121,I118:I150)+SUMIF($D$118:$D$150,120,I118:I150)+SUMIF($D$118:$D$150,69,I118:I150)+SUMIF($D$118:$D$150,382,I118:I150)</f>
        <v>2425332.6</v>
      </c>
      <c r="J117" s="127">
        <f t="shared" si="27"/>
        <v>2403977.64958</v>
      </c>
      <c r="K117" s="127">
        <f>SUMIF($D$118:$D$150,121,K118:K150)+SUMIF($D$118:$D$150,120,K118:K150)+SUMIF($D$118:$D$150,69,K118:K150)+SUMIF($D$118:$D$150,382,K118:K150)</f>
        <v>2501695.6</v>
      </c>
      <c r="L117" s="127">
        <f t="shared" ref="L117:P117" si="28">SUMIF($D$118:$D$150,121,L118:L150)+SUMIF($D$118:$D$150,120,L118:L150)+SUMIF($D$118:$D$150,69,L118:L150)+SUMIF($D$118:$D$150,382,L118:L150)</f>
        <v>2652168.8471099995</v>
      </c>
      <c r="M117" s="127">
        <f t="shared" si="28"/>
        <v>2501695.6</v>
      </c>
      <c r="N117" s="127">
        <f t="shared" si="28"/>
        <v>2652168.8471099995</v>
      </c>
      <c r="O117" s="127">
        <f t="shared" si="28"/>
        <v>2448600.1999999997</v>
      </c>
      <c r="P117" s="127">
        <f t="shared" si="28"/>
        <v>2449749.2000000002</v>
      </c>
      <c r="Q117" s="117"/>
    </row>
    <row r="118" spans="1:17" ht="18.75" x14ac:dyDescent="0.25">
      <c r="A118" s="182" t="s">
        <v>283</v>
      </c>
      <c r="B118" s="182" t="s">
        <v>284</v>
      </c>
      <c r="C118" s="182" t="s">
        <v>32</v>
      </c>
      <c r="D118" s="185" t="s">
        <v>33</v>
      </c>
      <c r="E118" s="185" t="s">
        <v>34</v>
      </c>
      <c r="F118" s="185" t="s">
        <v>285</v>
      </c>
      <c r="G118" s="128"/>
      <c r="H118" s="118"/>
      <c r="I118" s="185">
        <v>326077.2</v>
      </c>
      <c r="J118" s="185">
        <v>321716.04554000002</v>
      </c>
      <c r="K118" s="119">
        <f>SUM(K119:K121)</f>
        <v>301116.5</v>
      </c>
      <c r="L118" s="119">
        <f>SUM(L119:L121)</f>
        <v>311093.36122999998</v>
      </c>
      <c r="M118" s="119">
        <f>SUM(M119:M121)</f>
        <v>301116.5</v>
      </c>
      <c r="N118" s="119">
        <f>SUM(N119:N121)</f>
        <v>311093.36122999998</v>
      </c>
      <c r="O118" s="185">
        <v>313580.79999999999</v>
      </c>
      <c r="P118" s="185">
        <v>313580.79999999999</v>
      </c>
      <c r="Q118" s="185"/>
    </row>
    <row r="119" spans="1:17" ht="18.75" x14ac:dyDescent="0.25">
      <c r="A119" s="182"/>
      <c r="B119" s="182"/>
      <c r="C119" s="182"/>
      <c r="D119" s="185"/>
      <c r="E119" s="185"/>
      <c r="F119" s="185"/>
      <c r="G119" s="128" t="s">
        <v>111</v>
      </c>
      <c r="H119" s="118"/>
      <c r="I119" s="185"/>
      <c r="J119" s="185"/>
      <c r="K119" s="119">
        <v>280192.59999999998</v>
      </c>
      <c r="L119" s="130">
        <v>290378.57055</v>
      </c>
      <c r="M119" s="130">
        <f>K119</f>
        <v>280192.59999999998</v>
      </c>
      <c r="N119" s="130">
        <f>L119</f>
        <v>290378.57055</v>
      </c>
      <c r="O119" s="185"/>
      <c r="P119" s="185"/>
      <c r="Q119" s="185"/>
    </row>
    <row r="120" spans="1:17" ht="18.75" x14ac:dyDescent="0.25">
      <c r="A120" s="182"/>
      <c r="B120" s="182"/>
      <c r="C120" s="182"/>
      <c r="D120" s="185"/>
      <c r="E120" s="185"/>
      <c r="F120" s="185"/>
      <c r="G120" s="128" t="s">
        <v>92</v>
      </c>
      <c r="H120" s="118"/>
      <c r="I120" s="185"/>
      <c r="J120" s="185"/>
      <c r="K120" s="119">
        <v>20886.900000000001</v>
      </c>
      <c r="L120" s="130">
        <f>20525.75783+174.28038</f>
        <v>20700.038209999999</v>
      </c>
      <c r="M120" s="130">
        <f t="shared" ref="M120:N128" si="29">K120</f>
        <v>20886.900000000001</v>
      </c>
      <c r="N120" s="130">
        <f t="shared" si="29"/>
        <v>20700.038209999999</v>
      </c>
      <c r="O120" s="185"/>
      <c r="P120" s="185"/>
      <c r="Q120" s="185"/>
    </row>
    <row r="121" spans="1:17" ht="18.75" x14ac:dyDescent="0.25">
      <c r="A121" s="182"/>
      <c r="B121" s="182"/>
      <c r="C121" s="182"/>
      <c r="D121" s="185"/>
      <c r="E121" s="185"/>
      <c r="F121" s="185"/>
      <c r="G121" s="128" t="s">
        <v>222</v>
      </c>
      <c r="H121" s="118"/>
      <c r="I121" s="185"/>
      <c r="J121" s="185"/>
      <c r="K121" s="119">
        <v>37</v>
      </c>
      <c r="L121" s="130">
        <v>14.752470000000001</v>
      </c>
      <c r="M121" s="130">
        <f t="shared" si="29"/>
        <v>37</v>
      </c>
      <c r="N121" s="130">
        <f t="shared" si="29"/>
        <v>14.752470000000001</v>
      </c>
      <c r="O121" s="185"/>
      <c r="P121" s="185"/>
      <c r="Q121" s="185"/>
    </row>
    <row r="122" spans="1:17" ht="111" customHeight="1" x14ac:dyDescent="0.25">
      <c r="A122" s="122" t="s">
        <v>286</v>
      </c>
      <c r="B122" s="122" t="s">
        <v>284</v>
      </c>
      <c r="C122" s="120" t="s">
        <v>287</v>
      </c>
      <c r="D122" s="128" t="s">
        <v>111</v>
      </c>
      <c r="E122" s="128" t="s">
        <v>34</v>
      </c>
      <c r="F122" s="128" t="s">
        <v>285</v>
      </c>
      <c r="G122" s="128" t="s">
        <v>288</v>
      </c>
      <c r="H122" s="118"/>
      <c r="I122" s="119">
        <v>80759.899999999994</v>
      </c>
      <c r="J122" s="119">
        <v>79928.3</v>
      </c>
      <c r="K122" s="119">
        <v>81376.3</v>
      </c>
      <c r="L122" s="130">
        <v>84970.087939999998</v>
      </c>
      <c r="M122" s="130">
        <f t="shared" si="29"/>
        <v>81376.3</v>
      </c>
      <c r="N122" s="130">
        <f t="shared" si="29"/>
        <v>84970.087939999998</v>
      </c>
      <c r="O122" s="119">
        <v>83065.600000000006</v>
      </c>
      <c r="P122" s="119">
        <v>83065.600000000006</v>
      </c>
      <c r="Q122" s="118"/>
    </row>
    <row r="123" spans="1:17" ht="111" customHeight="1" x14ac:dyDescent="0.25">
      <c r="A123" s="122" t="s">
        <v>289</v>
      </c>
      <c r="B123" s="122" t="s">
        <v>284</v>
      </c>
      <c r="C123" s="120" t="s">
        <v>290</v>
      </c>
      <c r="D123" s="128" t="s">
        <v>291</v>
      </c>
      <c r="E123" s="128" t="s">
        <v>34</v>
      </c>
      <c r="F123" s="128" t="s">
        <v>285</v>
      </c>
      <c r="G123" s="128" t="s">
        <v>292</v>
      </c>
      <c r="H123" s="118"/>
      <c r="I123" s="119">
        <v>138627.1</v>
      </c>
      <c r="J123" s="119">
        <v>138814.29999999999</v>
      </c>
      <c r="K123" s="119">
        <v>143009</v>
      </c>
      <c r="L123" s="130">
        <v>149544.64000000001</v>
      </c>
      <c r="M123" s="130">
        <f t="shared" si="29"/>
        <v>143009</v>
      </c>
      <c r="N123" s="119">
        <f t="shared" si="29"/>
        <v>149544.64000000001</v>
      </c>
      <c r="O123" s="119">
        <v>143144.5</v>
      </c>
      <c r="P123" s="119">
        <v>140752.79999999999</v>
      </c>
      <c r="Q123" s="118"/>
    </row>
    <row r="124" spans="1:17" ht="111" customHeight="1" x14ac:dyDescent="0.25">
      <c r="A124" s="122" t="s">
        <v>293</v>
      </c>
      <c r="B124" s="122" t="s">
        <v>294</v>
      </c>
      <c r="C124" s="120" t="s">
        <v>290</v>
      </c>
      <c r="D124" s="128" t="s">
        <v>291</v>
      </c>
      <c r="E124" s="128" t="s">
        <v>34</v>
      </c>
      <c r="F124" s="128" t="s">
        <v>295</v>
      </c>
      <c r="G124" s="128" t="s">
        <v>292</v>
      </c>
      <c r="H124" s="118"/>
      <c r="I124" s="119">
        <f>30209.7+9008.4</f>
        <v>39218.1</v>
      </c>
      <c r="J124" s="119">
        <f>30768.847+8744.553</f>
        <v>39513.4</v>
      </c>
      <c r="K124" s="119">
        <v>39231.4</v>
      </c>
      <c r="L124" s="130">
        <v>42423.199999999997</v>
      </c>
      <c r="M124" s="130">
        <f t="shared" si="29"/>
        <v>39231.4</v>
      </c>
      <c r="N124" s="130">
        <f t="shared" si="29"/>
        <v>42423.199999999997</v>
      </c>
      <c r="O124" s="119">
        <v>39231.4</v>
      </c>
      <c r="P124" s="119">
        <v>39231.4</v>
      </c>
      <c r="Q124" s="118"/>
    </row>
    <row r="125" spans="1:17" ht="111" customHeight="1" x14ac:dyDescent="0.25">
      <c r="A125" s="122" t="s">
        <v>296</v>
      </c>
      <c r="B125" s="122" t="s">
        <v>294</v>
      </c>
      <c r="C125" s="120" t="s">
        <v>287</v>
      </c>
      <c r="D125" s="128" t="s">
        <v>111</v>
      </c>
      <c r="E125" s="128" t="s">
        <v>34</v>
      </c>
      <c r="F125" s="128" t="s">
        <v>295</v>
      </c>
      <c r="G125" s="128" t="s">
        <v>292</v>
      </c>
      <c r="H125" s="118"/>
      <c r="I125" s="119">
        <v>1253377.5</v>
      </c>
      <c r="J125" s="119">
        <v>1266145.3999999999</v>
      </c>
      <c r="K125" s="119">
        <v>1306650.6000000001</v>
      </c>
      <c r="L125" s="130">
        <v>1453959.4176400001</v>
      </c>
      <c r="M125" s="130">
        <f t="shared" si="29"/>
        <v>1306650.6000000001</v>
      </c>
      <c r="N125" s="130">
        <f t="shared" si="29"/>
        <v>1453959.4176400001</v>
      </c>
      <c r="O125" s="119">
        <v>1300170.8999999999</v>
      </c>
      <c r="P125" s="119">
        <v>1300170.8999999999</v>
      </c>
      <c r="Q125" s="118"/>
    </row>
    <row r="126" spans="1:17" ht="111" customHeight="1" x14ac:dyDescent="0.25">
      <c r="A126" s="122" t="s">
        <v>297</v>
      </c>
      <c r="B126" s="122" t="s">
        <v>359</v>
      </c>
      <c r="C126" s="120" t="s">
        <v>287</v>
      </c>
      <c r="D126" s="128" t="s">
        <v>111</v>
      </c>
      <c r="E126" s="128" t="s">
        <v>34</v>
      </c>
      <c r="F126" s="128" t="s">
        <v>298</v>
      </c>
      <c r="G126" s="128" t="s">
        <v>292</v>
      </c>
      <c r="H126" s="118"/>
      <c r="I126" s="119">
        <v>314349.2</v>
      </c>
      <c r="J126" s="119">
        <v>290389.59999999998</v>
      </c>
      <c r="K126" s="119">
        <v>332117.3</v>
      </c>
      <c r="L126" s="130">
        <v>313933.58246000001</v>
      </c>
      <c r="M126" s="130">
        <f t="shared" si="29"/>
        <v>332117.3</v>
      </c>
      <c r="N126" s="130">
        <f t="shared" si="29"/>
        <v>313933.58246000001</v>
      </c>
      <c r="O126" s="119">
        <v>293667.3</v>
      </c>
      <c r="P126" s="119">
        <v>297179.59999999998</v>
      </c>
      <c r="Q126" s="118"/>
    </row>
    <row r="127" spans="1:17" ht="78.75" customHeight="1" x14ac:dyDescent="0.25">
      <c r="A127" s="122" t="s">
        <v>299</v>
      </c>
      <c r="B127" s="122" t="s">
        <v>300</v>
      </c>
      <c r="C127" s="120" t="s">
        <v>287</v>
      </c>
      <c r="D127" s="128" t="s">
        <v>111</v>
      </c>
      <c r="E127" s="128" t="s">
        <v>34</v>
      </c>
      <c r="F127" s="128" t="s">
        <v>301</v>
      </c>
      <c r="G127" s="128" t="s">
        <v>92</v>
      </c>
      <c r="H127" s="118"/>
      <c r="I127" s="119">
        <v>659.3</v>
      </c>
      <c r="J127" s="119">
        <v>636.4</v>
      </c>
      <c r="K127" s="119">
        <v>654.9</v>
      </c>
      <c r="L127" s="130">
        <v>602.78585999999996</v>
      </c>
      <c r="M127" s="130">
        <f t="shared" si="29"/>
        <v>654.9</v>
      </c>
      <c r="N127" s="130">
        <f t="shared" si="29"/>
        <v>602.78585999999996</v>
      </c>
      <c r="O127" s="119">
        <v>717.2</v>
      </c>
      <c r="P127" s="119">
        <v>745.6</v>
      </c>
      <c r="Q127" s="118"/>
    </row>
    <row r="128" spans="1:17" ht="128.25" customHeight="1" x14ac:dyDescent="0.25">
      <c r="A128" s="122" t="s">
        <v>302</v>
      </c>
      <c r="B128" s="122" t="s">
        <v>303</v>
      </c>
      <c r="C128" s="120" t="s">
        <v>32</v>
      </c>
      <c r="D128" s="128" t="s">
        <v>33</v>
      </c>
      <c r="E128" s="128" t="s">
        <v>34</v>
      </c>
      <c r="F128" s="128" t="s">
        <v>304</v>
      </c>
      <c r="G128" s="118">
        <v>530</v>
      </c>
      <c r="H128" s="118"/>
      <c r="I128" s="119">
        <v>179917.4</v>
      </c>
      <c r="J128" s="119">
        <v>178352.87450999999</v>
      </c>
      <c r="K128" s="119">
        <v>200362.8</v>
      </c>
      <c r="L128" s="130">
        <v>198797.7347</v>
      </c>
      <c r="M128" s="130">
        <f t="shared" si="29"/>
        <v>200362.8</v>
      </c>
      <c r="N128" s="130">
        <f t="shared" si="29"/>
        <v>198797.7347</v>
      </c>
      <c r="O128" s="119">
        <v>185751.9</v>
      </c>
      <c r="P128" s="119">
        <v>185751.9</v>
      </c>
      <c r="Q128" s="118"/>
    </row>
    <row r="129" spans="1:17" ht="110.25" customHeight="1" x14ac:dyDescent="0.25">
      <c r="A129" s="122" t="s">
        <v>305</v>
      </c>
      <c r="B129" s="122" t="s">
        <v>306</v>
      </c>
      <c r="C129" s="120" t="s">
        <v>32</v>
      </c>
      <c r="D129" s="128" t="s">
        <v>33</v>
      </c>
      <c r="E129" s="128" t="s">
        <v>34</v>
      </c>
      <c r="F129" s="128" t="s">
        <v>307</v>
      </c>
      <c r="G129" s="118" t="s">
        <v>308</v>
      </c>
      <c r="H129" s="118"/>
      <c r="I129" s="119">
        <f>40622.1+41197.2</f>
        <v>81819.299999999988</v>
      </c>
      <c r="J129" s="119">
        <f>38283.00756+41107.2</f>
        <v>79390.207559999995</v>
      </c>
      <c r="K129" s="119">
        <f t="shared" ref="K129:P129" si="30">SUM(K131:K139)</f>
        <v>85700.5</v>
      </c>
      <c r="L129" s="119">
        <f t="shared" si="30"/>
        <v>85700.351770000008</v>
      </c>
      <c r="M129" s="119">
        <f t="shared" si="30"/>
        <v>85700.5</v>
      </c>
      <c r="N129" s="119">
        <f t="shared" si="30"/>
        <v>85700.351770000008</v>
      </c>
      <c r="O129" s="119">
        <f t="shared" si="30"/>
        <v>78486.100000000006</v>
      </c>
      <c r="P129" s="119">
        <f t="shared" si="30"/>
        <v>78486.100000000006</v>
      </c>
      <c r="Q129" s="119"/>
    </row>
    <row r="130" spans="1:17" ht="40.5" customHeight="1" x14ac:dyDescent="0.25">
      <c r="A130" s="122"/>
      <c r="B130" s="122" t="s">
        <v>279</v>
      </c>
      <c r="C130" s="120"/>
      <c r="D130" s="128"/>
      <c r="E130" s="128"/>
      <c r="F130" s="128"/>
      <c r="G130" s="118"/>
      <c r="H130" s="118"/>
      <c r="I130" s="119"/>
      <c r="J130" s="119"/>
      <c r="K130" s="119"/>
      <c r="L130" s="119"/>
      <c r="M130" s="119"/>
      <c r="N130" s="119"/>
      <c r="O130" s="119"/>
      <c r="P130" s="119"/>
      <c r="Q130" s="118"/>
    </row>
    <row r="131" spans="1:17" ht="40.5" customHeight="1" x14ac:dyDescent="0.25">
      <c r="A131" s="136" t="s">
        <v>309</v>
      </c>
      <c r="B131" s="122" t="s">
        <v>310</v>
      </c>
      <c r="C131" s="120"/>
      <c r="D131" s="128"/>
      <c r="E131" s="128"/>
      <c r="F131" s="128"/>
      <c r="G131" s="118"/>
      <c r="H131" s="118"/>
      <c r="I131" s="119"/>
      <c r="J131" s="119"/>
      <c r="K131" s="119"/>
      <c r="L131" s="130">
        <f t="shared" ref="L131:L134" si="31">K131</f>
        <v>0</v>
      </c>
      <c r="M131" s="130">
        <f t="shared" ref="M131:N141" si="32">K131</f>
        <v>0</v>
      </c>
      <c r="N131" s="130">
        <f t="shared" si="32"/>
        <v>0</v>
      </c>
      <c r="O131" s="119">
        <v>4994.8</v>
      </c>
      <c r="P131" s="119">
        <v>4994.8</v>
      </c>
      <c r="Q131" s="118"/>
    </row>
    <row r="132" spans="1:17" ht="62.25" customHeight="1" x14ac:dyDescent="0.3">
      <c r="A132" s="136" t="s">
        <v>311</v>
      </c>
      <c r="B132" s="122" t="s">
        <v>312</v>
      </c>
      <c r="C132" s="120"/>
      <c r="D132" s="124"/>
      <c r="E132" s="118"/>
      <c r="F132" s="118"/>
      <c r="G132" s="118"/>
      <c r="H132" s="118"/>
      <c r="I132" s="119"/>
      <c r="J132" s="119"/>
      <c r="K132" s="119">
        <v>900</v>
      </c>
      <c r="L132" s="130">
        <f t="shared" si="31"/>
        <v>900</v>
      </c>
      <c r="M132" s="130">
        <f t="shared" si="32"/>
        <v>900</v>
      </c>
      <c r="N132" s="130">
        <f t="shared" si="32"/>
        <v>900</v>
      </c>
      <c r="O132" s="119">
        <v>900</v>
      </c>
      <c r="P132" s="119">
        <v>900</v>
      </c>
      <c r="Q132" s="118"/>
    </row>
    <row r="133" spans="1:17" ht="60" customHeight="1" x14ac:dyDescent="0.3">
      <c r="A133" s="136" t="s">
        <v>313</v>
      </c>
      <c r="B133" s="122" t="s">
        <v>315</v>
      </c>
      <c r="C133" s="120"/>
      <c r="D133" s="124"/>
      <c r="E133" s="118"/>
      <c r="F133" s="118"/>
      <c r="G133" s="118"/>
      <c r="H133" s="118"/>
      <c r="I133" s="119"/>
      <c r="J133" s="119"/>
      <c r="K133" s="119">
        <v>1749.7</v>
      </c>
      <c r="L133" s="130">
        <v>1749.6666700000001</v>
      </c>
      <c r="M133" s="130">
        <f t="shared" si="32"/>
        <v>1749.7</v>
      </c>
      <c r="N133" s="130">
        <f t="shared" si="32"/>
        <v>1749.6666700000001</v>
      </c>
      <c r="O133" s="119">
        <v>1750</v>
      </c>
      <c r="P133" s="119">
        <v>1750</v>
      </c>
      <c r="Q133" s="118"/>
    </row>
    <row r="134" spans="1:17" ht="66.75" customHeight="1" x14ac:dyDescent="0.3">
      <c r="A134" s="136" t="s">
        <v>314</v>
      </c>
      <c r="B134" s="122" t="s">
        <v>317</v>
      </c>
      <c r="C134" s="120"/>
      <c r="D134" s="124"/>
      <c r="E134" s="118"/>
      <c r="F134" s="118"/>
      <c r="G134" s="118"/>
      <c r="H134" s="118"/>
      <c r="I134" s="119"/>
      <c r="J134" s="119"/>
      <c r="K134" s="119"/>
      <c r="L134" s="130">
        <f t="shared" si="31"/>
        <v>0</v>
      </c>
      <c r="M134" s="130">
        <f t="shared" si="32"/>
        <v>0</v>
      </c>
      <c r="N134" s="130">
        <f t="shared" si="32"/>
        <v>0</v>
      </c>
      <c r="O134" s="119">
        <v>740</v>
      </c>
      <c r="P134" s="119"/>
      <c r="Q134" s="118"/>
    </row>
    <row r="135" spans="1:17" ht="89.25" customHeight="1" x14ac:dyDescent="0.3">
      <c r="A135" s="136" t="s">
        <v>316</v>
      </c>
      <c r="B135" s="122" t="s">
        <v>356</v>
      </c>
      <c r="C135" s="120"/>
      <c r="D135" s="124"/>
      <c r="E135" s="118"/>
      <c r="F135" s="118"/>
      <c r="G135" s="118"/>
      <c r="H135" s="118"/>
      <c r="I135" s="119"/>
      <c r="J135" s="119"/>
      <c r="K135" s="119">
        <v>13663.6</v>
      </c>
      <c r="L135" s="130">
        <f>13663.55162</f>
        <v>13663.55162</v>
      </c>
      <c r="M135" s="130">
        <f t="shared" si="32"/>
        <v>13663.6</v>
      </c>
      <c r="N135" s="130">
        <f t="shared" si="32"/>
        <v>13663.55162</v>
      </c>
      <c r="O135" s="119">
        <v>13270</v>
      </c>
      <c r="P135" s="119">
        <v>13270</v>
      </c>
      <c r="Q135" s="118"/>
    </row>
    <row r="136" spans="1:17" ht="64.5" customHeight="1" x14ac:dyDescent="0.3">
      <c r="A136" s="136" t="s">
        <v>318</v>
      </c>
      <c r="B136" s="122" t="s">
        <v>320</v>
      </c>
      <c r="C136" s="120"/>
      <c r="D136" s="124"/>
      <c r="E136" s="118"/>
      <c r="F136" s="118"/>
      <c r="G136" s="118"/>
      <c r="H136" s="118"/>
      <c r="I136" s="119"/>
      <c r="J136" s="119"/>
      <c r="K136" s="119">
        <v>687.6</v>
      </c>
      <c r="L136" s="130">
        <f>340+347.6</f>
        <v>687.6</v>
      </c>
      <c r="M136" s="130">
        <f t="shared" si="32"/>
        <v>687.6</v>
      </c>
      <c r="N136" s="130">
        <f t="shared" si="32"/>
        <v>687.6</v>
      </c>
      <c r="O136" s="119"/>
      <c r="P136" s="119">
        <v>692.6</v>
      </c>
      <c r="Q136" s="118"/>
    </row>
    <row r="137" spans="1:17" ht="75.75" customHeight="1" x14ac:dyDescent="0.3">
      <c r="A137" s="136" t="s">
        <v>319</v>
      </c>
      <c r="B137" s="122" t="s">
        <v>322</v>
      </c>
      <c r="C137" s="120"/>
      <c r="D137" s="124"/>
      <c r="E137" s="118"/>
      <c r="F137" s="118"/>
      <c r="G137" s="118"/>
      <c r="H137" s="118"/>
      <c r="I137" s="119"/>
      <c r="J137" s="119"/>
      <c r="K137" s="119">
        <v>3299.3</v>
      </c>
      <c r="L137" s="130">
        <f>711.23333+2588.0694</f>
        <v>3299.3027299999999</v>
      </c>
      <c r="M137" s="130">
        <f t="shared" si="32"/>
        <v>3299.3</v>
      </c>
      <c r="N137" s="130">
        <f t="shared" si="32"/>
        <v>3299.3027299999999</v>
      </c>
      <c r="O137" s="119">
        <v>2966.7</v>
      </c>
      <c r="P137" s="119">
        <v>2966.7</v>
      </c>
      <c r="Q137" s="118"/>
    </row>
    <row r="138" spans="1:17" ht="122.25" customHeight="1" x14ac:dyDescent="0.3">
      <c r="A138" s="136" t="s">
        <v>321</v>
      </c>
      <c r="B138" s="122" t="s">
        <v>324</v>
      </c>
      <c r="C138" s="120"/>
      <c r="D138" s="124"/>
      <c r="E138" s="118"/>
      <c r="F138" s="118"/>
      <c r="G138" s="118"/>
      <c r="H138" s="118"/>
      <c r="I138" s="119"/>
      <c r="J138" s="119"/>
      <c r="K138" s="119">
        <v>64900.3</v>
      </c>
      <c r="L138" s="130">
        <v>64900.230750000002</v>
      </c>
      <c r="M138" s="130">
        <f t="shared" si="32"/>
        <v>64900.3</v>
      </c>
      <c r="N138" s="130">
        <f t="shared" si="32"/>
        <v>64900.230750000002</v>
      </c>
      <c r="O138" s="119">
        <v>53864.6</v>
      </c>
      <c r="P138" s="119">
        <v>53912</v>
      </c>
      <c r="Q138" s="118"/>
    </row>
    <row r="139" spans="1:17" ht="40.5" customHeight="1" x14ac:dyDescent="0.3">
      <c r="A139" s="136" t="s">
        <v>323</v>
      </c>
      <c r="B139" s="122" t="s">
        <v>325</v>
      </c>
      <c r="C139" s="120"/>
      <c r="D139" s="124"/>
      <c r="E139" s="118"/>
      <c r="F139" s="118"/>
      <c r="G139" s="118"/>
      <c r="H139" s="118"/>
      <c r="I139" s="119"/>
      <c r="J139" s="119"/>
      <c r="K139" s="119">
        <v>500</v>
      </c>
      <c r="L139" s="130">
        <f t="shared" ref="L139:L141" si="33">K139</f>
        <v>500</v>
      </c>
      <c r="M139" s="130">
        <f t="shared" si="32"/>
        <v>500</v>
      </c>
      <c r="N139" s="130">
        <f t="shared" si="32"/>
        <v>500</v>
      </c>
      <c r="O139" s="119"/>
      <c r="P139" s="119"/>
      <c r="Q139" s="118"/>
    </row>
    <row r="140" spans="1:17" ht="66" customHeight="1" x14ac:dyDescent="0.25">
      <c r="A140" s="136"/>
      <c r="B140" s="122" t="s">
        <v>327</v>
      </c>
      <c r="C140" s="120" t="s">
        <v>32</v>
      </c>
      <c r="D140" s="128" t="s">
        <v>33</v>
      </c>
      <c r="E140" s="128" t="s">
        <v>330</v>
      </c>
      <c r="F140" s="128" t="s">
        <v>331</v>
      </c>
      <c r="G140" s="118" t="s">
        <v>308</v>
      </c>
      <c r="H140" s="118"/>
      <c r="I140" s="119">
        <v>2806.5</v>
      </c>
      <c r="J140" s="119">
        <v>2564.8290000000002</v>
      </c>
      <c r="K140" s="119"/>
      <c r="L140" s="130">
        <f t="shared" si="33"/>
        <v>0</v>
      </c>
      <c r="M140" s="130">
        <f t="shared" si="32"/>
        <v>0</v>
      </c>
      <c r="N140" s="130">
        <f t="shared" si="32"/>
        <v>0</v>
      </c>
      <c r="O140" s="119"/>
      <c r="P140" s="119"/>
      <c r="Q140" s="118"/>
    </row>
    <row r="141" spans="1:17" ht="66" customHeight="1" x14ac:dyDescent="0.25">
      <c r="A141" s="122" t="s">
        <v>326</v>
      </c>
      <c r="B141" s="122" t="s">
        <v>327</v>
      </c>
      <c r="C141" s="120" t="s">
        <v>328</v>
      </c>
      <c r="D141" s="128" t="s">
        <v>329</v>
      </c>
      <c r="E141" s="128" t="s">
        <v>330</v>
      </c>
      <c r="F141" s="128" t="s">
        <v>331</v>
      </c>
      <c r="G141" s="118" t="s">
        <v>308</v>
      </c>
      <c r="H141" s="118"/>
      <c r="I141" s="119"/>
      <c r="J141" s="119"/>
      <c r="K141" s="119">
        <v>3130.5</v>
      </c>
      <c r="L141" s="130">
        <f t="shared" si="33"/>
        <v>3130.5</v>
      </c>
      <c r="M141" s="130">
        <f t="shared" si="32"/>
        <v>3130.5</v>
      </c>
      <c r="N141" s="130">
        <f t="shared" si="32"/>
        <v>3130.5</v>
      </c>
      <c r="O141" s="119">
        <v>3648</v>
      </c>
      <c r="P141" s="119">
        <v>3648</v>
      </c>
      <c r="Q141" s="118"/>
    </row>
    <row r="142" spans="1:17" ht="138.75" customHeight="1" x14ac:dyDescent="0.25">
      <c r="A142" s="122" t="s">
        <v>332</v>
      </c>
      <c r="B142" s="122" t="s">
        <v>333</v>
      </c>
      <c r="C142" s="120" t="s">
        <v>32</v>
      </c>
      <c r="D142" s="128" t="s">
        <v>33</v>
      </c>
      <c r="E142" s="128" t="s">
        <v>34</v>
      </c>
      <c r="F142" s="128" t="s">
        <v>334</v>
      </c>
      <c r="G142" s="118" t="s">
        <v>308</v>
      </c>
      <c r="H142" s="118"/>
      <c r="I142" s="119">
        <v>4023.2</v>
      </c>
      <c r="J142" s="119">
        <v>3872.2417999999998</v>
      </c>
      <c r="K142" s="119">
        <f t="shared" ref="K142:L142" si="34">SUM(K144:K145)</f>
        <v>4208.6000000000004</v>
      </c>
      <c r="L142" s="119">
        <f t="shared" si="34"/>
        <v>4160.8258000000005</v>
      </c>
      <c r="M142" s="119">
        <f>SUM(M144:M145)</f>
        <v>4208.6000000000004</v>
      </c>
      <c r="N142" s="119">
        <f t="shared" ref="N142:P142" si="35">SUM(N144:N145)</f>
        <v>4160.8258000000005</v>
      </c>
      <c r="O142" s="119">
        <f t="shared" si="35"/>
        <v>4716.5</v>
      </c>
      <c r="P142" s="119">
        <f t="shared" si="35"/>
        <v>4716.5</v>
      </c>
      <c r="Q142" s="118"/>
    </row>
    <row r="143" spans="1:17" ht="40.5" customHeight="1" x14ac:dyDescent="0.3">
      <c r="A143" s="136"/>
      <c r="B143" s="122" t="s">
        <v>335</v>
      </c>
      <c r="C143" s="120"/>
      <c r="D143" s="124"/>
      <c r="E143" s="118"/>
      <c r="F143" s="118"/>
      <c r="G143" s="118"/>
      <c r="H143" s="118"/>
      <c r="I143" s="119"/>
      <c r="J143" s="119"/>
      <c r="K143" s="119"/>
      <c r="L143" s="119"/>
      <c r="M143" s="119"/>
      <c r="N143" s="119"/>
      <c r="O143" s="119"/>
      <c r="P143" s="119"/>
      <c r="Q143" s="118"/>
    </row>
    <row r="144" spans="1:17" ht="92.25" customHeight="1" x14ac:dyDescent="0.3">
      <c r="A144" s="122" t="s">
        <v>336</v>
      </c>
      <c r="B144" s="122" t="s">
        <v>337</v>
      </c>
      <c r="C144" s="120"/>
      <c r="D144" s="124"/>
      <c r="E144" s="118"/>
      <c r="F144" s="118"/>
      <c r="G144" s="118"/>
      <c r="H144" s="118"/>
      <c r="I144" s="119"/>
      <c r="J144" s="119"/>
      <c r="K144" s="119">
        <v>915</v>
      </c>
      <c r="L144" s="130">
        <f>188+715</f>
        <v>903</v>
      </c>
      <c r="M144" s="130">
        <f t="shared" ref="M144:N150" si="36">K144</f>
        <v>915</v>
      </c>
      <c r="N144" s="130">
        <f t="shared" si="36"/>
        <v>903</v>
      </c>
      <c r="O144" s="119">
        <v>915</v>
      </c>
      <c r="P144" s="119">
        <v>915</v>
      </c>
      <c r="Q144" s="118"/>
    </row>
    <row r="145" spans="1:17" ht="65.25" customHeight="1" x14ac:dyDescent="0.3">
      <c r="A145" s="122" t="s">
        <v>338</v>
      </c>
      <c r="B145" s="122" t="s">
        <v>339</v>
      </c>
      <c r="C145" s="120"/>
      <c r="D145" s="124"/>
      <c r="E145" s="118"/>
      <c r="F145" s="118"/>
      <c r="G145" s="118"/>
      <c r="H145" s="118"/>
      <c r="I145" s="119"/>
      <c r="J145" s="119"/>
      <c r="K145" s="119">
        <v>3293.6</v>
      </c>
      <c r="L145" s="130">
        <v>3257.8258000000001</v>
      </c>
      <c r="M145" s="130">
        <f t="shared" si="36"/>
        <v>3293.6</v>
      </c>
      <c r="N145" s="130">
        <f t="shared" si="36"/>
        <v>3257.8258000000001</v>
      </c>
      <c r="O145" s="119">
        <v>3801.5</v>
      </c>
      <c r="P145" s="119">
        <v>3801.5</v>
      </c>
      <c r="Q145" s="118"/>
    </row>
    <row r="146" spans="1:17" ht="56.25" customHeight="1" x14ac:dyDescent="0.25">
      <c r="A146" s="122"/>
      <c r="B146" s="122" t="s">
        <v>341</v>
      </c>
      <c r="C146" s="120" t="s">
        <v>32</v>
      </c>
      <c r="D146" s="128" t="s">
        <v>33</v>
      </c>
      <c r="E146" s="128" t="s">
        <v>330</v>
      </c>
      <c r="F146" s="128" t="s">
        <v>342</v>
      </c>
      <c r="G146" s="118">
        <v>240</v>
      </c>
      <c r="H146" s="118"/>
      <c r="I146" s="119">
        <v>661.9</v>
      </c>
      <c r="J146" s="119">
        <v>661.84073000000001</v>
      </c>
      <c r="K146" s="119"/>
      <c r="L146" s="130">
        <f t="shared" ref="L146:L150" si="37">K146</f>
        <v>0</v>
      </c>
      <c r="M146" s="130">
        <f t="shared" si="36"/>
        <v>0</v>
      </c>
      <c r="N146" s="130">
        <f t="shared" si="36"/>
        <v>0</v>
      </c>
      <c r="O146" s="119"/>
      <c r="P146" s="119"/>
      <c r="Q146" s="118"/>
    </row>
    <row r="147" spans="1:17" ht="54.75" customHeight="1" x14ac:dyDescent="0.25">
      <c r="A147" s="122" t="s">
        <v>340</v>
      </c>
      <c r="B147" s="122" t="s">
        <v>341</v>
      </c>
      <c r="C147" s="120" t="s">
        <v>328</v>
      </c>
      <c r="D147" s="128" t="s">
        <v>329</v>
      </c>
      <c r="E147" s="128" t="s">
        <v>330</v>
      </c>
      <c r="F147" s="128" t="s">
        <v>342</v>
      </c>
      <c r="G147" s="118">
        <v>240</v>
      </c>
      <c r="H147" s="118"/>
      <c r="I147" s="119"/>
      <c r="J147" s="119"/>
      <c r="K147" s="119">
        <v>681.7</v>
      </c>
      <c r="L147" s="130">
        <f>681.7-0.08929</f>
        <v>681.61071000000004</v>
      </c>
      <c r="M147" s="130">
        <f t="shared" si="36"/>
        <v>681.7</v>
      </c>
      <c r="N147" s="130">
        <f>L147</f>
        <v>681.61071000000004</v>
      </c>
      <c r="O147" s="119">
        <v>820</v>
      </c>
      <c r="P147" s="119">
        <v>820</v>
      </c>
      <c r="Q147" s="118"/>
    </row>
    <row r="148" spans="1:17" ht="90.75" customHeight="1" x14ac:dyDescent="0.25">
      <c r="A148" s="122" t="s">
        <v>343</v>
      </c>
      <c r="B148" s="122" t="s">
        <v>344</v>
      </c>
      <c r="C148" s="120" t="s">
        <v>32</v>
      </c>
      <c r="D148" s="128" t="s">
        <v>33</v>
      </c>
      <c r="E148" s="128" t="s">
        <v>34</v>
      </c>
      <c r="F148" s="128" t="s">
        <v>345</v>
      </c>
      <c r="G148" s="118">
        <v>810</v>
      </c>
      <c r="H148" s="118"/>
      <c r="I148" s="119">
        <v>1600</v>
      </c>
      <c r="J148" s="119">
        <v>604.03844000000004</v>
      </c>
      <c r="K148" s="119">
        <v>1500</v>
      </c>
      <c r="L148" s="130">
        <v>1215.279</v>
      </c>
      <c r="M148" s="130">
        <f t="shared" si="36"/>
        <v>1500</v>
      </c>
      <c r="N148" s="130">
        <f t="shared" si="36"/>
        <v>1215.279</v>
      </c>
      <c r="O148" s="119">
        <v>1600</v>
      </c>
      <c r="P148" s="119">
        <v>1600</v>
      </c>
      <c r="Q148" s="118"/>
    </row>
    <row r="149" spans="1:17" ht="86.25" customHeight="1" x14ac:dyDescent="0.25">
      <c r="A149" s="122" t="s">
        <v>346</v>
      </c>
      <c r="B149" s="122" t="s">
        <v>347</v>
      </c>
      <c r="C149" s="120" t="s">
        <v>32</v>
      </c>
      <c r="D149" s="128" t="s">
        <v>33</v>
      </c>
      <c r="E149" s="128" t="s">
        <v>330</v>
      </c>
      <c r="F149" s="128" t="s">
        <v>348</v>
      </c>
      <c r="G149" s="118">
        <v>350</v>
      </c>
      <c r="H149" s="118"/>
      <c r="I149" s="119">
        <v>1436</v>
      </c>
      <c r="J149" s="119">
        <v>1388.172</v>
      </c>
      <c r="K149" s="119">
        <v>1543.8</v>
      </c>
      <c r="L149" s="130">
        <v>1543.77</v>
      </c>
      <c r="M149" s="130">
        <f t="shared" si="36"/>
        <v>1543.8</v>
      </c>
      <c r="N149" s="130">
        <f t="shared" si="36"/>
        <v>1543.77</v>
      </c>
      <c r="O149" s="119"/>
      <c r="P149" s="119"/>
      <c r="Q149" s="118"/>
    </row>
    <row r="150" spans="1:17" ht="89.25" customHeight="1" x14ac:dyDescent="0.25">
      <c r="A150" s="122" t="s">
        <v>349</v>
      </c>
      <c r="B150" s="122" t="s">
        <v>347</v>
      </c>
      <c r="C150" s="120" t="s">
        <v>328</v>
      </c>
      <c r="D150" s="128" t="s">
        <v>329</v>
      </c>
      <c r="E150" s="128" t="s">
        <v>330</v>
      </c>
      <c r="F150" s="128" t="s">
        <v>348</v>
      </c>
      <c r="G150" s="118">
        <v>350</v>
      </c>
      <c r="H150" s="118"/>
      <c r="I150" s="119"/>
      <c r="J150" s="119"/>
      <c r="K150" s="119">
        <v>411.7</v>
      </c>
      <c r="L150" s="130">
        <f t="shared" si="37"/>
        <v>411.7</v>
      </c>
      <c r="M150" s="130">
        <f t="shared" si="36"/>
        <v>411.7</v>
      </c>
      <c r="N150" s="130">
        <f t="shared" si="36"/>
        <v>411.7</v>
      </c>
      <c r="O150" s="119"/>
      <c r="P150" s="119"/>
      <c r="Q150" s="118"/>
    </row>
    <row r="151" spans="1:17" ht="40.5" customHeight="1" x14ac:dyDescent="0.3">
      <c r="A151" s="122"/>
      <c r="B151" s="123" t="s">
        <v>350</v>
      </c>
      <c r="C151" s="120"/>
      <c r="D151" s="124"/>
      <c r="E151" s="118"/>
      <c r="F151" s="118"/>
      <c r="G151" s="118"/>
      <c r="H151" s="118"/>
      <c r="I151" s="125">
        <f>I153+I154+I155+I156</f>
        <v>2425332.6</v>
      </c>
      <c r="J151" s="125">
        <f t="shared" ref="J151:P151" si="38">J153+J154+J155+J156</f>
        <v>2403977.64958</v>
      </c>
      <c r="K151" s="125">
        <f t="shared" si="38"/>
        <v>2501695.6</v>
      </c>
      <c r="L151" s="125">
        <f t="shared" si="38"/>
        <v>2652168.8471099995</v>
      </c>
      <c r="M151" s="125">
        <f t="shared" si="38"/>
        <v>2501695.6</v>
      </c>
      <c r="N151" s="125">
        <f t="shared" si="38"/>
        <v>2652168.8471099995</v>
      </c>
      <c r="O151" s="125">
        <f t="shared" si="38"/>
        <v>2448600.1999999997</v>
      </c>
      <c r="P151" s="125">
        <f t="shared" si="38"/>
        <v>2449749.2000000002</v>
      </c>
      <c r="Q151" s="118"/>
    </row>
    <row r="152" spans="1:17" ht="40.5" customHeight="1" x14ac:dyDescent="0.3">
      <c r="A152" s="122"/>
      <c r="B152" s="122" t="s">
        <v>279</v>
      </c>
      <c r="C152" s="120"/>
      <c r="D152" s="124"/>
      <c r="E152" s="118"/>
      <c r="F152" s="118"/>
      <c r="G152" s="118"/>
      <c r="H152" s="118"/>
      <c r="I152" s="125"/>
      <c r="J152" s="125"/>
      <c r="K152" s="125"/>
      <c r="L152" s="125"/>
      <c r="M152" s="125"/>
      <c r="N152" s="125"/>
      <c r="O152" s="125"/>
      <c r="P152" s="125"/>
      <c r="Q152" s="118"/>
    </row>
    <row r="153" spans="1:17" ht="40.5" customHeight="1" x14ac:dyDescent="0.3">
      <c r="A153" s="122"/>
      <c r="B153" s="122" t="s">
        <v>32</v>
      </c>
      <c r="C153" s="120"/>
      <c r="D153" s="124" t="s">
        <v>33</v>
      </c>
      <c r="E153" s="118"/>
      <c r="F153" s="118"/>
      <c r="G153" s="118"/>
      <c r="H153" s="118"/>
      <c r="I153" s="125">
        <f t="shared" ref="I153:P153" si="39">SUMIF($D$118:$D$150,121,I118:I150)</f>
        <v>598341.49999999988</v>
      </c>
      <c r="J153" s="125">
        <f t="shared" si="39"/>
        <v>588550.24958000006</v>
      </c>
      <c r="K153" s="125">
        <f t="shared" si="39"/>
        <v>594432.20000000007</v>
      </c>
      <c r="L153" s="125">
        <f t="shared" si="39"/>
        <v>602511.32249999989</v>
      </c>
      <c r="M153" s="125">
        <f t="shared" si="39"/>
        <v>594432.20000000007</v>
      </c>
      <c r="N153" s="125">
        <f t="shared" si="39"/>
        <v>602511.32249999989</v>
      </c>
      <c r="O153" s="125">
        <f t="shared" si="39"/>
        <v>584135.29999999993</v>
      </c>
      <c r="P153" s="125">
        <f t="shared" si="39"/>
        <v>584135.29999999993</v>
      </c>
      <c r="Q153" s="118"/>
    </row>
    <row r="154" spans="1:17" ht="40.5" customHeight="1" x14ac:dyDescent="0.3">
      <c r="A154" s="122"/>
      <c r="B154" s="122" t="s">
        <v>110</v>
      </c>
      <c r="C154" s="120"/>
      <c r="D154" s="124" t="s">
        <v>111</v>
      </c>
      <c r="E154" s="118"/>
      <c r="F154" s="118"/>
      <c r="G154" s="118"/>
      <c r="H154" s="118"/>
      <c r="I154" s="125">
        <f t="shared" ref="I154:P154" si="40">SUMIF($D$118:$D$150,120,I118:I150)</f>
        <v>1649145.9</v>
      </c>
      <c r="J154" s="125">
        <f t="shared" si="40"/>
        <v>1637099.6999999997</v>
      </c>
      <c r="K154" s="125">
        <f t="shared" si="40"/>
        <v>1720799.1</v>
      </c>
      <c r="L154" s="125">
        <f t="shared" si="40"/>
        <v>1853465.8739</v>
      </c>
      <c r="M154" s="125">
        <f t="shared" si="40"/>
        <v>1720799.1</v>
      </c>
      <c r="N154" s="125">
        <f t="shared" si="40"/>
        <v>1853465.8739</v>
      </c>
      <c r="O154" s="125">
        <f t="shared" si="40"/>
        <v>1677621</v>
      </c>
      <c r="P154" s="125">
        <f t="shared" si="40"/>
        <v>1681161.7000000002</v>
      </c>
      <c r="Q154" s="118"/>
    </row>
    <row r="155" spans="1:17" ht="68.25" customHeight="1" x14ac:dyDescent="0.3">
      <c r="A155" s="122"/>
      <c r="B155" s="122" t="s">
        <v>290</v>
      </c>
      <c r="C155" s="120"/>
      <c r="D155" s="124" t="s">
        <v>291</v>
      </c>
      <c r="E155" s="118"/>
      <c r="F155" s="118"/>
      <c r="G155" s="118"/>
      <c r="H155" s="118"/>
      <c r="I155" s="125">
        <f t="shared" ref="I155:P155" si="41">SUMIF($D$118:$D$150,69,I118:I150)</f>
        <v>177845.2</v>
      </c>
      <c r="J155" s="125">
        <f t="shared" si="41"/>
        <v>178327.69999999998</v>
      </c>
      <c r="K155" s="125">
        <f t="shared" si="41"/>
        <v>182240.4</v>
      </c>
      <c r="L155" s="125">
        <f t="shared" si="41"/>
        <v>191967.84000000003</v>
      </c>
      <c r="M155" s="125">
        <f t="shared" si="41"/>
        <v>182240.4</v>
      </c>
      <c r="N155" s="125">
        <f t="shared" si="41"/>
        <v>191967.84000000003</v>
      </c>
      <c r="O155" s="125">
        <f t="shared" si="41"/>
        <v>182375.9</v>
      </c>
      <c r="P155" s="125">
        <f t="shared" si="41"/>
        <v>179984.19999999998</v>
      </c>
      <c r="Q155" s="118"/>
    </row>
    <row r="156" spans="1:17" ht="42" customHeight="1" x14ac:dyDescent="0.3">
      <c r="A156" s="122"/>
      <c r="B156" s="122" t="s">
        <v>328</v>
      </c>
      <c r="C156" s="120"/>
      <c r="D156" s="124" t="s">
        <v>329</v>
      </c>
      <c r="E156" s="118"/>
      <c r="F156" s="118"/>
      <c r="G156" s="118"/>
      <c r="H156" s="118"/>
      <c r="I156" s="125">
        <f t="shared" ref="I156:P156" si="42">SUMIF($D$118:$D$150,382,I118:I150)</f>
        <v>0</v>
      </c>
      <c r="J156" s="125">
        <f t="shared" si="42"/>
        <v>0</v>
      </c>
      <c r="K156" s="125">
        <f t="shared" si="42"/>
        <v>4223.8999999999996</v>
      </c>
      <c r="L156" s="125">
        <f t="shared" si="42"/>
        <v>4223.8107099999997</v>
      </c>
      <c r="M156" s="125">
        <f t="shared" si="42"/>
        <v>4223.8999999999996</v>
      </c>
      <c r="N156" s="125">
        <f t="shared" si="42"/>
        <v>4223.8107099999997</v>
      </c>
      <c r="O156" s="125">
        <f t="shared" si="42"/>
        <v>4468</v>
      </c>
      <c r="P156" s="125">
        <f t="shared" si="42"/>
        <v>4468</v>
      </c>
      <c r="Q156" s="118"/>
    </row>
    <row r="157" spans="1:17" ht="41.25" customHeight="1" x14ac:dyDescent="0.25">
      <c r="A157" s="122"/>
      <c r="B157" s="123" t="s">
        <v>351</v>
      </c>
      <c r="C157" s="137"/>
      <c r="D157" s="126"/>
      <c r="E157" s="126"/>
      <c r="F157" s="126"/>
      <c r="G157" s="126"/>
      <c r="H157" s="126"/>
      <c r="I157" s="125">
        <f>SUM(I159:I162)</f>
        <v>10338052.799999999</v>
      </c>
      <c r="J157" s="125">
        <f t="shared" ref="J157:P157" si="43">SUM(J159:J162)</f>
        <v>10857597.359540001</v>
      </c>
      <c r="K157" s="125">
        <f t="shared" si="43"/>
        <v>10140596.819659997</v>
      </c>
      <c r="L157" s="125">
        <f t="shared" si="43"/>
        <v>10238257.506492002</v>
      </c>
      <c r="M157" s="125">
        <f t="shared" si="43"/>
        <v>10140596.819659997</v>
      </c>
      <c r="N157" s="125">
        <f t="shared" si="43"/>
        <v>10238257.506492002</v>
      </c>
      <c r="O157" s="125">
        <f t="shared" si="43"/>
        <v>8950991.9000000022</v>
      </c>
      <c r="P157" s="125">
        <f t="shared" si="43"/>
        <v>8939709.799999997</v>
      </c>
      <c r="Q157" s="126"/>
    </row>
    <row r="158" spans="1:17" ht="41.25" customHeight="1" x14ac:dyDescent="0.3">
      <c r="A158" s="122"/>
      <c r="B158" s="122" t="s">
        <v>279</v>
      </c>
      <c r="C158" s="120"/>
      <c r="D158" s="124"/>
      <c r="E158" s="118"/>
      <c r="F158" s="118"/>
      <c r="G158" s="118"/>
      <c r="H158" s="118"/>
      <c r="I158" s="125"/>
      <c r="J158" s="125"/>
      <c r="K158" s="125"/>
      <c r="L158" s="125"/>
      <c r="M158" s="125"/>
      <c r="N158" s="125"/>
      <c r="O158" s="125"/>
      <c r="P158" s="125"/>
      <c r="Q158" s="118"/>
    </row>
    <row r="159" spans="1:17" ht="41.25" customHeight="1" x14ac:dyDescent="0.3">
      <c r="A159" s="122"/>
      <c r="B159" s="122" t="s">
        <v>32</v>
      </c>
      <c r="C159" s="120"/>
      <c r="D159" s="124" t="s">
        <v>33</v>
      </c>
      <c r="E159" s="118"/>
      <c r="F159" s="118"/>
      <c r="G159" s="118"/>
      <c r="H159" s="118"/>
      <c r="I159" s="125">
        <f t="shared" ref="I159:P159" si="44">SUMIF($D$28:$D$150,121,I28:I150)</f>
        <v>8421934.7999999989</v>
      </c>
      <c r="J159" s="125">
        <f t="shared" si="44"/>
        <v>8953595.8595400006</v>
      </c>
      <c r="K159" s="125">
        <f t="shared" si="44"/>
        <v>8144206.519659996</v>
      </c>
      <c r="L159" s="125">
        <f t="shared" si="44"/>
        <v>8099480.7975320015</v>
      </c>
      <c r="M159" s="125">
        <f t="shared" si="44"/>
        <v>8144206.519659996</v>
      </c>
      <c r="N159" s="125">
        <f t="shared" si="44"/>
        <v>8099480.7975320015</v>
      </c>
      <c r="O159" s="125">
        <f t="shared" si="44"/>
        <v>6997400.1000000015</v>
      </c>
      <c r="P159" s="125">
        <f t="shared" si="44"/>
        <v>6984968.9999999981</v>
      </c>
      <c r="Q159" s="118"/>
    </row>
    <row r="160" spans="1:17" ht="41.25" customHeight="1" x14ac:dyDescent="0.3">
      <c r="A160" s="122"/>
      <c r="B160" s="122" t="s">
        <v>110</v>
      </c>
      <c r="C160" s="120"/>
      <c r="D160" s="124" t="s">
        <v>111</v>
      </c>
      <c r="E160" s="118"/>
      <c r="F160" s="118"/>
      <c r="G160" s="118"/>
      <c r="H160" s="118"/>
      <c r="I160" s="125">
        <f t="shared" ref="I160:P160" si="45">SUMIF($D$28:$D$150,120,I28:I150)</f>
        <v>1738272.8</v>
      </c>
      <c r="J160" s="125">
        <f t="shared" si="45"/>
        <v>1725673.7999999998</v>
      </c>
      <c r="K160" s="125">
        <f t="shared" si="45"/>
        <v>1809926</v>
      </c>
      <c r="L160" s="125">
        <f t="shared" si="45"/>
        <v>1942585.05825</v>
      </c>
      <c r="M160" s="125">
        <f t="shared" si="45"/>
        <v>1809926</v>
      </c>
      <c r="N160" s="125">
        <f t="shared" si="45"/>
        <v>1942585.05825</v>
      </c>
      <c r="O160" s="125">
        <f t="shared" si="45"/>
        <v>1766747.9</v>
      </c>
      <c r="P160" s="125">
        <f t="shared" si="45"/>
        <v>1770288.6</v>
      </c>
      <c r="Q160" s="118"/>
    </row>
    <row r="161" spans="1:17" ht="69" customHeight="1" x14ac:dyDescent="0.3">
      <c r="A161" s="122"/>
      <c r="B161" s="122" t="s">
        <v>290</v>
      </c>
      <c r="C161" s="120"/>
      <c r="D161" s="124" t="s">
        <v>291</v>
      </c>
      <c r="E161" s="118"/>
      <c r="F161" s="118"/>
      <c r="G161" s="118"/>
      <c r="H161" s="118"/>
      <c r="I161" s="125">
        <f t="shared" ref="I161:P161" si="46">SUMIF($D$28:$D$150,69,I28:I150)</f>
        <v>177845.2</v>
      </c>
      <c r="J161" s="125">
        <f t="shared" si="46"/>
        <v>178327.69999999998</v>
      </c>
      <c r="K161" s="125">
        <f t="shared" si="46"/>
        <v>182240.4</v>
      </c>
      <c r="L161" s="125">
        <f t="shared" si="46"/>
        <v>191967.84000000003</v>
      </c>
      <c r="M161" s="125">
        <f t="shared" si="46"/>
        <v>182240.4</v>
      </c>
      <c r="N161" s="125">
        <f t="shared" si="46"/>
        <v>191967.84000000003</v>
      </c>
      <c r="O161" s="125">
        <f t="shared" si="46"/>
        <v>182375.9</v>
      </c>
      <c r="P161" s="125">
        <f t="shared" si="46"/>
        <v>179984.19999999998</v>
      </c>
      <c r="Q161" s="118"/>
    </row>
    <row r="162" spans="1:17" ht="40.5" customHeight="1" x14ac:dyDescent="0.3">
      <c r="A162" s="122"/>
      <c r="B162" s="122" t="s">
        <v>328</v>
      </c>
      <c r="C162" s="120"/>
      <c r="D162" s="124" t="s">
        <v>329</v>
      </c>
      <c r="E162" s="118"/>
      <c r="F162" s="118"/>
      <c r="G162" s="118"/>
      <c r="H162" s="118"/>
      <c r="I162" s="125">
        <f t="shared" ref="I162:P162" si="47">SUMIF($D$28:$D$150,382,I28:I150)</f>
        <v>0</v>
      </c>
      <c r="J162" s="125">
        <f t="shared" si="47"/>
        <v>0</v>
      </c>
      <c r="K162" s="125">
        <f t="shared" si="47"/>
        <v>4223.8999999999996</v>
      </c>
      <c r="L162" s="125">
        <f t="shared" si="47"/>
        <v>4223.8107099999997</v>
      </c>
      <c r="M162" s="125">
        <f t="shared" si="47"/>
        <v>4223.8999999999996</v>
      </c>
      <c r="N162" s="125">
        <f t="shared" si="47"/>
        <v>4223.8107099999997</v>
      </c>
      <c r="O162" s="125">
        <f t="shared" si="47"/>
        <v>4468</v>
      </c>
      <c r="P162" s="125">
        <f t="shared" si="47"/>
        <v>4468</v>
      </c>
      <c r="Q162" s="118"/>
    </row>
    <row r="163" spans="1:17" ht="18.75" x14ac:dyDescent="0.3">
      <c r="A163" s="138"/>
      <c r="B163" s="138"/>
      <c r="C163" s="139"/>
      <c r="D163" s="140"/>
      <c r="E163" s="141"/>
      <c r="F163" s="141"/>
      <c r="G163" s="141"/>
      <c r="H163" s="141"/>
      <c r="I163" s="142"/>
      <c r="J163" s="142"/>
      <c r="K163" s="142"/>
      <c r="L163" s="142"/>
      <c r="M163" s="142"/>
      <c r="N163" s="142"/>
      <c r="O163" s="142"/>
      <c r="P163" s="142"/>
      <c r="Q163" s="141"/>
    </row>
    <row r="164" spans="1:17" ht="18.75" x14ac:dyDescent="0.3">
      <c r="A164" s="138"/>
      <c r="B164" s="138"/>
      <c r="C164" s="139"/>
      <c r="D164" s="140"/>
      <c r="E164" s="141"/>
      <c r="F164" s="141"/>
      <c r="G164" s="141"/>
      <c r="H164" s="141"/>
      <c r="I164" s="142"/>
      <c r="J164" s="142"/>
      <c r="K164" s="142"/>
      <c r="L164" s="142"/>
      <c r="M164" s="142"/>
      <c r="N164" s="142"/>
      <c r="O164" s="142"/>
      <c r="P164" s="142"/>
      <c r="Q164" s="141"/>
    </row>
    <row r="165" spans="1:17" ht="18.75" x14ac:dyDescent="0.3">
      <c r="A165" s="138"/>
      <c r="B165" s="138"/>
      <c r="C165" s="139"/>
      <c r="D165" s="140"/>
      <c r="E165" s="141"/>
      <c r="F165" s="141"/>
      <c r="G165" s="141"/>
      <c r="H165" s="141"/>
      <c r="I165" s="142"/>
      <c r="J165" s="142"/>
      <c r="K165" s="142"/>
      <c r="L165" s="142"/>
      <c r="M165" s="142"/>
      <c r="N165" s="142"/>
      <c r="O165" s="142"/>
      <c r="P165" s="142"/>
      <c r="Q165" s="141"/>
    </row>
    <row r="166" spans="1:17" s="145" customFormat="1" ht="40.5" customHeight="1" x14ac:dyDescent="0.35">
      <c r="A166" s="188" t="s">
        <v>368</v>
      </c>
      <c r="B166" s="188"/>
      <c r="C166" s="188"/>
      <c r="D166" s="188"/>
      <c r="E166" s="188"/>
      <c r="F166" s="188"/>
      <c r="G166" s="188"/>
      <c r="H166" s="188"/>
      <c r="I166" s="188"/>
      <c r="J166" s="188"/>
      <c r="K166" s="188"/>
      <c r="L166" s="143"/>
      <c r="M166" s="144"/>
      <c r="N166" s="144"/>
      <c r="O166" s="144"/>
      <c r="P166" s="144"/>
      <c r="Q166" s="144"/>
    </row>
    <row r="167" spans="1:17" ht="18.75" x14ac:dyDescent="0.3">
      <c r="A167" s="114"/>
      <c r="B167" s="114"/>
      <c r="C167" s="115"/>
      <c r="D167" s="114"/>
      <c r="E167" s="114"/>
      <c r="F167" s="114"/>
      <c r="G167" s="114"/>
      <c r="H167" s="114"/>
      <c r="I167" s="114"/>
      <c r="J167" s="114"/>
      <c r="K167" s="114"/>
      <c r="L167" s="114"/>
      <c r="M167" s="114"/>
      <c r="N167" s="114"/>
      <c r="O167" s="114"/>
      <c r="P167" s="114"/>
      <c r="Q167" s="114"/>
    </row>
  </sheetData>
  <mergeCells count="57">
    <mergeCell ref="A18:Q18"/>
    <mergeCell ref="A166:K166"/>
    <mergeCell ref="D118:D121"/>
    <mergeCell ref="E118:E121"/>
    <mergeCell ref="F118:F121"/>
    <mergeCell ref="I118:I121"/>
    <mergeCell ref="J118:J121"/>
    <mergeCell ref="O118:O121"/>
    <mergeCell ref="B77:C77"/>
    <mergeCell ref="B93:C93"/>
    <mergeCell ref="B107:C107"/>
    <mergeCell ref="B117:C117"/>
    <mergeCell ref="A118:A121"/>
    <mergeCell ref="B118:B121"/>
    <mergeCell ref="B23:Q23"/>
    <mergeCell ref="B24:Q24"/>
    <mergeCell ref="C118:C121"/>
    <mergeCell ref="B27:C27"/>
    <mergeCell ref="B33:C33"/>
    <mergeCell ref="B35:C35"/>
    <mergeCell ref="B57:C57"/>
    <mergeCell ref="B63:C63"/>
    <mergeCell ref="B74:C74"/>
    <mergeCell ref="P118:P121"/>
    <mergeCell ref="Q118:Q121"/>
    <mergeCell ref="B25:Q25"/>
    <mergeCell ref="O14:P14"/>
    <mergeCell ref="K15:L15"/>
    <mergeCell ref="M15:N15"/>
    <mergeCell ref="O15:O16"/>
    <mergeCell ref="P15:P16"/>
    <mergeCell ref="B19:Q19"/>
    <mergeCell ref="D14:D16"/>
    <mergeCell ref="E14:E16"/>
    <mergeCell ref="F14:F16"/>
    <mergeCell ref="G14:G16"/>
    <mergeCell ref="I14:J15"/>
    <mergeCell ref="K14:N14"/>
    <mergeCell ref="B20:Q20"/>
    <mergeCell ref="B21:Q21"/>
    <mergeCell ref="B22:Q22"/>
    <mergeCell ref="M7:P7"/>
    <mergeCell ref="M8:P8"/>
    <mergeCell ref="A10:Q10"/>
    <mergeCell ref="A11:Q11"/>
    <mergeCell ref="A13:A16"/>
    <mergeCell ref="B13:B16"/>
    <mergeCell ref="C13:C16"/>
    <mergeCell ref="D13:G13"/>
    <mergeCell ref="I13:P13"/>
    <mergeCell ref="Q13:Q16"/>
    <mergeCell ref="M6:P6"/>
    <mergeCell ref="M1:P1"/>
    <mergeCell ref="L2:P2"/>
    <mergeCell ref="M3:P3"/>
    <mergeCell ref="M4:P4"/>
    <mergeCell ref="M5:P5"/>
  </mergeCells>
  <pageMargins left="0.7" right="0.7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Школина Ольга Николаевна</dc:creator>
  <cp:lastModifiedBy>Москалева Анастасия Александровна</cp:lastModifiedBy>
  <cp:lastPrinted>2025-03-03T04:35:46Z</cp:lastPrinted>
  <dcterms:created xsi:type="dcterms:W3CDTF">2024-06-27T11:25:59Z</dcterms:created>
  <dcterms:modified xsi:type="dcterms:W3CDTF">2025-03-03T05:42:31Z</dcterms:modified>
</cp:coreProperties>
</file>